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NS_Pub\省エネ法検討\1304 地中熱\"/>
    </mc:Choice>
  </mc:AlternateContent>
  <xr:revisionPtr revIDLastSave="0" documentId="13_ncr:1_{F999D7FD-C290-491E-A0FB-AACA09EC1CD7}" xr6:coauthVersionLast="46" xr6:coauthVersionMax="46" xr10:uidLastSave="{00000000-0000-0000-0000-000000000000}"/>
  <bookViews>
    <workbookView xWindow="-110" yWindow="-110" windowWidth="38620" windowHeight="23620" firstSheet="1" activeTab="2" xr2:uid="{02D9B6E9-E32E-4D5A-81E2-DB3B67848236}"/>
  </bookViews>
  <sheets>
    <sheet name="①熱源水ポンプ群合計消費電力計算シート" sheetId="5" r:id="rId1"/>
    <sheet name="①記入例" sheetId="11" r:id="rId2"/>
    <sheet name="①の使い方" sheetId="7" r:id="rId3"/>
    <sheet name="②設計チェックシート" sheetId="6" r:id="rId4"/>
    <sheet name="②記入例" sheetId="13" r:id="rId5"/>
    <sheet name="②の使い方" sheetId="8" r:id="rId6"/>
  </sheets>
  <definedNames>
    <definedName name="_xlnm.Print_Area" localSheetId="1">①記入例!$A$1:$Q$35</definedName>
    <definedName name="_xlnm.Print_Area" localSheetId="0">①熱源水ポンプ群合計消費電力計算シート!$A$1:$Q$35</definedName>
    <definedName name="_xlnm.Print_Area" localSheetId="5">②の使い方!$A$1:$C$167</definedName>
    <definedName name="_xlnm.Print_Area" localSheetId="4">②記入例!$A$1:$Q$87</definedName>
    <definedName name="_xlnm.Print_Area" localSheetId="3">②設計チェックシート!$A$1:$Q$87</definedName>
    <definedName name="タイプ" localSheetId="1">INDIRECT(①記入例!$H$10)</definedName>
    <definedName name="タイプ">INDIRECT(①熱源水ポンプ群合計消費電力計算シート!$H$10)</definedName>
    <definedName name="タイプA" localSheetId="1">①記入例!$U$11</definedName>
    <definedName name="タイプA">①熱源水ポンプ群合計消費電力計算シート!$U$11</definedName>
    <definedName name="タイプB" localSheetId="1">①記入例!$AB$11</definedName>
    <definedName name="タイプB">①熱源水ポンプ群合計消費電力計算シート!$AB$11</definedName>
    <definedName name="タイプC" localSheetId="1">①記入例!$AI$11</definedName>
    <definedName name="タイプC">①熱源水ポンプ群合計消費電力計算シート!$AI$11</definedName>
    <definedName name="タイプD" localSheetId="1">①記入例!$AP$11</definedName>
    <definedName name="タイプD">①熱源水ポンプ群合計消費電力計算シート!$AP$11</definedName>
    <definedName name="タイプE" localSheetId="1">①記入例!$AW$11</definedName>
    <definedName name="タイプE">①熱源水ポンプ群合計消費電力計算シート!$AW$11</definedName>
    <definedName name="タイプF" localSheetId="1">①記入例!$BD$11</definedName>
    <definedName name="タイプF">①熱源水ポンプ群合計消費電力計算シート!$BD$11</definedName>
  </definedNames>
  <calcPr calcId="191029"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2" i="13" l="1"/>
  <c r="V22" i="13" s="1"/>
  <c r="H21" i="13"/>
  <c r="H20" i="13"/>
  <c r="V20" i="13" s="1"/>
  <c r="H19" i="13"/>
  <c r="H18" i="13"/>
  <c r="V18" i="13" s="1"/>
  <c r="H10" i="13"/>
  <c r="H6" i="13"/>
  <c r="H50" i="13" s="1"/>
  <c r="B6" i="13"/>
  <c r="B50" i="13" s="1"/>
  <c r="L3" i="13"/>
  <c r="L2" i="13"/>
  <c r="L46" i="13" s="1"/>
  <c r="W67" i="13"/>
  <c r="V67" i="13"/>
  <c r="H67" i="13" s="1"/>
  <c r="I67" i="13"/>
  <c r="V33" i="13"/>
  <c r="V32" i="13"/>
  <c r="W30" i="13"/>
  <c r="V30" i="13"/>
  <c r="J30" i="13"/>
  <c r="V29" i="13"/>
  <c r="J29" i="13"/>
  <c r="W27" i="13"/>
  <c r="V27" i="13"/>
  <c r="W26" i="13"/>
  <c r="V26" i="13"/>
  <c r="W25" i="13"/>
  <c r="V25" i="13"/>
  <c r="W24" i="13"/>
  <c r="V24" i="13"/>
  <c r="J23" i="13"/>
  <c r="V21" i="13"/>
  <c r="V19" i="13"/>
  <c r="W16" i="13"/>
  <c r="V16" i="13"/>
  <c r="W15" i="13"/>
  <c r="V15" i="13"/>
  <c r="J15" i="13"/>
  <c r="W14" i="13"/>
  <c r="V14" i="13"/>
  <c r="W13" i="13"/>
  <c r="V13" i="13"/>
  <c r="V11" i="13"/>
  <c r="G11" i="13"/>
  <c r="G71" i="13" s="1"/>
  <c r="AB3" i="13"/>
  <c r="L47" i="13"/>
  <c r="AB2" i="13"/>
  <c r="J23" i="6"/>
  <c r="J10" i="13"/>
  <c r="V77" i="13"/>
  <c r="H77" i="13" l="1"/>
  <c r="W79" i="13"/>
  <c r="I79" i="13" s="1"/>
  <c r="W80" i="13" s="1"/>
  <c r="I80" i="13" s="1"/>
  <c r="V79" i="13"/>
  <c r="H79" i="13" s="1"/>
  <c r="H37" i="13"/>
  <c r="V66" i="13"/>
  <c r="H66" i="13" s="1"/>
  <c r="J37" i="13"/>
  <c r="V55" i="13"/>
  <c r="W66" i="13"/>
  <c r="I66" i="13" s="1"/>
  <c r="G21" i="13"/>
  <c r="J67" i="13"/>
  <c r="G69" i="13"/>
  <c r="G19" i="13"/>
  <c r="G68" i="13"/>
  <c r="H10" i="6"/>
  <c r="J15" i="6"/>
  <c r="V30" i="11"/>
  <c r="H30" i="11" s="1"/>
  <c r="J30" i="11" s="1"/>
  <c r="W26" i="11"/>
  <c r="V26" i="11"/>
  <c r="W24" i="11"/>
  <c r="V24" i="11"/>
  <c r="G24" i="11"/>
  <c r="W23" i="11"/>
  <c r="V23" i="11"/>
  <c r="J23" i="11"/>
  <c r="W21" i="11"/>
  <c r="V21" i="11"/>
  <c r="W20" i="11"/>
  <c r="V20" i="11"/>
  <c r="J20" i="11"/>
  <c r="AE7" i="11"/>
  <c r="AE6" i="11"/>
  <c r="AE5" i="11"/>
  <c r="AE4" i="11"/>
  <c r="AE3" i="11"/>
  <c r="AB3" i="11"/>
  <c r="AE2" i="11"/>
  <c r="AB2" i="11"/>
  <c r="AE1" i="11"/>
  <c r="H6" i="6"/>
  <c r="J30" i="6"/>
  <c r="J29" i="6"/>
  <c r="H22" i="6"/>
  <c r="H21" i="6"/>
  <c r="H20" i="6"/>
  <c r="H19" i="6"/>
  <c r="G11" i="6"/>
  <c r="H18" i="6"/>
  <c r="V73" i="13"/>
  <c r="W73" i="13"/>
  <c r="J10" i="11"/>
  <c r="J77" i="13"/>
  <c r="V68" i="13"/>
  <c r="I73" i="13" l="1"/>
  <c r="H73" i="13"/>
  <c r="J79" i="13"/>
  <c r="V80" i="13"/>
  <c r="H80" i="13" s="1"/>
  <c r="H61" i="13" s="1"/>
  <c r="H68" i="13"/>
  <c r="J66" i="13"/>
  <c r="L3" i="6"/>
  <c r="L2" i="6"/>
  <c r="I57" i="13"/>
  <c r="H55" i="13"/>
  <c r="H60" i="13"/>
  <c r="W68" i="13"/>
  <c r="H59" i="13"/>
  <c r="I56" i="13"/>
  <c r="J73" i="13"/>
  <c r="I60" i="13"/>
  <c r="H56" i="13"/>
  <c r="H57" i="13"/>
  <c r="J80" i="13" l="1"/>
  <c r="I68" i="13"/>
  <c r="W75" i="13" s="1"/>
  <c r="I75" i="13" s="1"/>
  <c r="V75" i="13"/>
  <c r="H75" i="13" s="1"/>
  <c r="V71" i="13"/>
  <c r="H71" i="13" s="1"/>
  <c r="AF57" i="13"/>
  <c r="AF56" i="13"/>
  <c r="AF60" i="13"/>
  <c r="AE55" i="13"/>
  <c r="AE60" i="13"/>
  <c r="J60" i="13"/>
  <c r="AE59" i="13"/>
  <c r="J59" i="13"/>
  <c r="AE56" i="13"/>
  <c r="AE57" i="13"/>
  <c r="T61" i="13"/>
  <c r="J61" i="13"/>
  <c r="V18" i="6"/>
  <c r="V55" i="6"/>
  <c r="I60" i="6" s="1"/>
  <c r="J68" i="13"/>
  <c r="H58" i="13"/>
  <c r="I58" i="13"/>
  <c r="V72" i="13"/>
  <c r="H60" i="6" l="1"/>
  <c r="H72" i="13"/>
  <c r="H69" i="13"/>
  <c r="J55" i="13" s="1"/>
  <c r="W71" i="13"/>
  <c r="I71" i="13" s="1"/>
  <c r="J71" i="13" s="1"/>
  <c r="AE58" i="13"/>
  <c r="AF58" i="13"/>
  <c r="E39" i="13"/>
  <c r="J58" i="13"/>
  <c r="J75" i="13"/>
  <c r="H57" i="6"/>
  <c r="I56" i="6"/>
  <c r="H59" i="6"/>
  <c r="I57" i="6"/>
  <c r="H56" i="6"/>
  <c r="J69" i="13" l="1"/>
  <c r="H50" i="6"/>
  <c r="B6" i="6"/>
  <c r="B50" i="6" s="1"/>
  <c r="L47" i="6"/>
  <c r="L46" i="6"/>
  <c r="G71" i="6"/>
  <c r="G69" i="6"/>
  <c r="G68" i="6"/>
  <c r="W67" i="6"/>
  <c r="I67" i="6" s="1"/>
  <c r="V67" i="6"/>
  <c r="H67" i="6" s="1"/>
  <c r="V33" i="6"/>
  <c r="V32" i="6"/>
  <c r="W30" i="6"/>
  <c r="V30" i="6"/>
  <c r="V29" i="6"/>
  <c r="W27" i="6"/>
  <c r="V27" i="6"/>
  <c r="W26" i="6"/>
  <c r="V26" i="6"/>
  <c r="W25" i="6"/>
  <c r="V25" i="6"/>
  <c r="W24" i="6"/>
  <c r="V24" i="6"/>
  <c r="V22" i="6"/>
  <c r="V21" i="6"/>
  <c r="G21" i="6"/>
  <c r="V20" i="6"/>
  <c r="V19" i="6"/>
  <c r="G19" i="6"/>
  <c r="W16" i="6"/>
  <c r="V16" i="6"/>
  <c r="W15" i="6"/>
  <c r="V15" i="6"/>
  <c r="W14" i="6"/>
  <c r="V14" i="6"/>
  <c r="W13" i="6"/>
  <c r="V13" i="6"/>
  <c r="V11" i="6"/>
  <c r="AB3" i="6"/>
  <c r="AB2" i="6"/>
  <c r="V26" i="5"/>
  <c r="J23" i="5"/>
  <c r="J20" i="5"/>
  <c r="J10" i="6"/>
  <c r="J10" i="5"/>
  <c r="W72" i="13"/>
  <c r="V77" i="6"/>
  <c r="W73" i="6"/>
  <c r="V73" i="6"/>
  <c r="I72" i="13" l="1"/>
  <c r="J57" i="13" s="1"/>
  <c r="J56" i="13"/>
  <c r="V79" i="6"/>
  <c r="H79" i="6" s="1"/>
  <c r="V80" i="6" s="1"/>
  <c r="H80" i="6" s="1"/>
  <c r="J67" i="6"/>
  <c r="W79" i="6"/>
  <c r="I79" i="6" s="1"/>
  <c r="W80" i="6" s="1"/>
  <c r="I80" i="6" s="1"/>
  <c r="W66" i="6"/>
  <c r="I66" i="6" s="1"/>
  <c r="H37" i="6"/>
  <c r="V66" i="6"/>
  <c r="H66" i="6" s="1"/>
  <c r="J37" i="6"/>
  <c r="I73" i="6"/>
  <c r="H77" i="6"/>
  <c r="J77" i="6" s="1"/>
  <c r="H73" i="6"/>
  <c r="J73" i="6" s="1"/>
  <c r="AE1" i="5"/>
  <c r="AE7" i="5"/>
  <c r="AE6" i="5"/>
  <c r="AE5" i="5"/>
  <c r="AE4" i="5"/>
  <c r="AE3" i="5"/>
  <c r="AE2" i="5"/>
  <c r="J72" i="13"/>
  <c r="W68" i="6"/>
  <c r="V68" i="6"/>
  <c r="J66" i="6" l="1"/>
  <c r="AF60" i="6"/>
  <c r="AE59" i="6"/>
  <c r="AE60" i="6"/>
  <c r="J60" i="6"/>
  <c r="J79" i="6"/>
  <c r="I68" i="6"/>
  <c r="H68" i="6"/>
  <c r="J68" i="6" s="1"/>
  <c r="J80" i="6"/>
  <c r="H61" i="6"/>
  <c r="J59" i="6"/>
  <c r="W26" i="5"/>
  <c r="W24" i="5"/>
  <c r="W23" i="5"/>
  <c r="W20" i="5"/>
  <c r="W21" i="5"/>
  <c r="V24" i="5"/>
  <c r="V23" i="5"/>
  <c r="V21" i="5"/>
  <c r="V20" i="5"/>
  <c r="G24" i="5"/>
  <c r="AB3" i="5"/>
  <c r="AB2" i="5"/>
  <c r="J61" i="6" l="1"/>
  <c r="T61" i="6"/>
  <c r="V71" i="6"/>
  <c r="H71" i="6" s="1"/>
  <c r="V75" i="6"/>
  <c r="H75" i="6" s="1"/>
  <c r="H69" i="6"/>
  <c r="W71" i="6"/>
  <c r="I71" i="6" s="1"/>
  <c r="W75" i="6"/>
  <c r="I75" i="6" s="1"/>
  <c r="V30" i="5"/>
  <c r="H30" i="5" s="1"/>
  <c r="J30" i="5" s="1"/>
  <c r="I58" i="6"/>
  <c r="H58" i="6"/>
  <c r="H55" i="6"/>
  <c r="AE55" i="6" l="1"/>
  <c r="AF58" i="6"/>
  <c r="AE58" i="6"/>
  <c r="J75" i="6"/>
  <c r="J71" i="6"/>
  <c r="J58" i="6"/>
  <c r="J69" i="6"/>
  <c r="J55" i="6"/>
  <c r="W72" i="6"/>
  <c r="V72" i="6"/>
  <c r="H72" i="6" l="1"/>
  <c r="J72" i="6" s="1"/>
  <c r="I72" i="6"/>
  <c r="AF57" i="6" l="1"/>
  <c r="AF56" i="6"/>
  <c r="AE57" i="6"/>
  <c r="AE56" i="6"/>
  <c r="E39" i="6" s="1"/>
  <c r="J56" i="6" l="1"/>
  <c r="J57" i="6"/>
</calcChain>
</file>

<file path=xl/sharedStrings.xml><?xml version="1.0" encoding="utf-8"?>
<sst xmlns="http://schemas.openxmlformats.org/spreadsheetml/2006/main" count="1332" uniqueCount="223">
  <si>
    <t>[kW]</t>
    <phoneticPr fontId="1"/>
  </si>
  <si>
    <t>[-]</t>
    <phoneticPr fontId="1"/>
  </si>
  <si>
    <t>[L/min]</t>
  </si>
  <si>
    <r>
      <rPr>
        <sz val="11"/>
        <color theme="1"/>
        <rFont val="ＭＳ Ｐ明朝"/>
        <family val="1"/>
        <charset val="128"/>
      </rPr>
      <t>●入力情報</t>
    </r>
    <rPh sb="1" eb="3">
      <t>ニュウリョク</t>
    </rPh>
    <rPh sb="3" eb="5">
      <t>ジョウホウ</t>
    </rPh>
    <phoneticPr fontId="1"/>
  </si>
  <si>
    <r>
      <t xml:space="preserve">1) </t>
    </r>
    <r>
      <rPr>
        <sz val="11"/>
        <color theme="1"/>
        <rFont val="ＭＳ Ｐ明朝"/>
        <family val="1"/>
        <charset val="128"/>
      </rPr>
      <t>オープンループのタイプ</t>
    </r>
    <phoneticPr fontId="1"/>
  </si>
  <si>
    <r>
      <t xml:space="preserve">3) </t>
    </r>
    <r>
      <rPr>
        <sz val="11"/>
        <color theme="1"/>
        <rFont val="ＭＳ Ｐ明朝"/>
        <family val="1"/>
        <charset val="128"/>
      </rPr>
      <t>地中熱ヒートポンプに係る入力</t>
    </r>
    <rPh sb="3" eb="5">
      <t>チチュウ</t>
    </rPh>
    <rPh sb="5" eb="6">
      <t>ネツ</t>
    </rPh>
    <rPh sb="13" eb="14">
      <t>カカ</t>
    </rPh>
    <rPh sb="15" eb="17">
      <t>ニュウリョク</t>
    </rPh>
    <phoneticPr fontId="1"/>
  </si>
  <si>
    <r>
      <rPr>
        <sz val="11"/>
        <color theme="1"/>
        <rFont val="ＭＳ Ｐ明朝"/>
        <family val="1"/>
        <charset val="128"/>
      </rPr>
      <t>冷房時</t>
    </r>
  </si>
  <si>
    <r>
      <rPr>
        <sz val="11"/>
        <color theme="1"/>
        <rFont val="ＭＳ Ｐ明朝"/>
        <family val="1"/>
        <charset val="128"/>
      </rPr>
      <t>暖房時</t>
    </r>
  </si>
  <si>
    <r>
      <t>[</t>
    </r>
    <r>
      <rPr>
        <sz val="11"/>
        <color theme="1"/>
        <rFont val="ＭＳ Ｐ明朝"/>
        <family val="1"/>
        <charset val="128"/>
      </rPr>
      <t>℃</t>
    </r>
    <r>
      <rPr>
        <sz val="11"/>
        <color theme="1"/>
        <rFont val="Times New Roman"/>
        <family val="1"/>
      </rPr>
      <t>]</t>
    </r>
    <phoneticPr fontId="1"/>
  </si>
  <si>
    <r>
      <t xml:space="preserve">4) </t>
    </r>
    <r>
      <rPr>
        <sz val="11"/>
        <color theme="1"/>
        <rFont val="ＭＳ Ｐ明朝"/>
        <family val="1"/>
        <charset val="128"/>
      </rPr>
      <t>ポンプに係る入力</t>
    </r>
    <rPh sb="7" eb="8">
      <t>カカ</t>
    </rPh>
    <rPh sb="9" eb="11">
      <t>ニュウリョク</t>
    </rPh>
    <phoneticPr fontId="1"/>
  </si>
  <si>
    <r>
      <rPr>
        <sz val="11"/>
        <color theme="1"/>
        <rFont val="ＭＳ Ｐ明朝"/>
        <family val="1"/>
        <charset val="128"/>
      </rPr>
      <t>●計算過程</t>
    </r>
    <rPh sb="1" eb="3">
      <t>ケイサン</t>
    </rPh>
    <rPh sb="3" eb="5">
      <t>カテイ</t>
    </rPh>
    <phoneticPr fontId="1"/>
  </si>
  <si>
    <r>
      <t xml:space="preserve">a) </t>
    </r>
    <r>
      <rPr>
        <sz val="11"/>
        <color theme="1"/>
        <rFont val="ＭＳ Ｐ明朝"/>
        <family val="1"/>
        <charset val="128"/>
      </rPr>
      <t>必要熱源水量の計算</t>
    </r>
    <rPh sb="3" eb="5">
      <t>ヒツヨウ</t>
    </rPh>
    <rPh sb="5" eb="7">
      <t>ネツゲン</t>
    </rPh>
    <rPh sb="7" eb="9">
      <t>スイリョウ</t>
    </rPh>
    <rPh sb="10" eb="12">
      <t>ケイサン</t>
    </rPh>
    <phoneticPr fontId="1"/>
  </si>
  <si>
    <r>
      <t xml:space="preserve">b) </t>
    </r>
    <r>
      <rPr>
        <sz val="11"/>
        <color theme="1"/>
        <rFont val="ＭＳ Ｐ明朝"/>
        <family val="1"/>
        <charset val="128"/>
      </rPr>
      <t>井水槽容量に関する計算</t>
    </r>
    <rPh sb="3" eb="5">
      <t>イスイ</t>
    </rPh>
    <rPh sb="5" eb="6">
      <t>ソウ</t>
    </rPh>
    <rPh sb="6" eb="8">
      <t>ヨウリョウ</t>
    </rPh>
    <rPh sb="9" eb="10">
      <t>カン</t>
    </rPh>
    <rPh sb="12" eb="14">
      <t>ケイサン</t>
    </rPh>
    <phoneticPr fontId="1"/>
  </si>
  <si>
    <t>[m3/h]</t>
  </si>
  <si>
    <t>[m3/s]</t>
    <phoneticPr fontId="1"/>
  </si>
  <si>
    <r>
      <t>[m</t>
    </r>
    <r>
      <rPr>
        <vertAlign val="superscript"/>
        <sz val="11"/>
        <color theme="1"/>
        <rFont val="Times New Roman"/>
        <family val="1"/>
      </rPr>
      <t>3</t>
    </r>
    <r>
      <rPr>
        <sz val="11"/>
        <color theme="1"/>
        <rFont val="Times New Roman"/>
        <family val="1"/>
      </rPr>
      <t>]</t>
    </r>
    <phoneticPr fontId="1"/>
  </si>
  <si>
    <t>[hour/day]</t>
    <phoneticPr fontId="1"/>
  </si>
  <si>
    <r>
      <t xml:space="preserve">2) </t>
    </r>
    <r>
      <rPr>
        <sz val="11"/>
        <color theme="1"/>
        <rFont val="ＭＳ Ｐ明朝"/>
        <family val="1"/>
        <charset val="128"/>
      </rPr>
      <t>設計揚水量</t>
    </r>
    <r>
      <rPr>
        <sz val="11"/>
        <color theme="1"/>
        <rFont val="Times New Roman"/>
        <family val="1"/>
      </rPr>
      <t xml:space="preserve"> </t>
    </r>
    <r>
      <rPr>
        <i/>
        <sz val="11"/>
        <color theme="1"/>
        <rFont val="Times New Roman"/>
        <family val="1"/>
      </rPr>
      <t>V</t>
    </r>
    <r>
      <rPr>
        <i/>
        <vertAlign val="subscript"/>
        <sz val="11"/>
        <color theme="1"/>
        <rFont val="Times New Roman"/>
        <family val="1"/>
      </rPr>
      <t>w</t>
    </r>
    <rPh sb="3" eb="5">
      <t>セッケイ</t>
    </rPh>
    <rPh sb="5" eb="7">
      <t>ヨウスイ</t>
    </rPh>
    <rPh sb="7" eb="8">
      <t>リョウ</t>
    </rPh>
    <phoneticPr fontId="1"/>
  </si>
  <si>
    <r>
      <t>[m</t>
    </r>
    <r>
      <rPr>
        <vertAlign val="superscript"/>
        <sz val="11"/>
        <color theme="1"/>
        <rFont val="Times New Roman"/>
        <family val="1"/>
      </rPr>
      <t>2</t>
    </r>
    <r>
      <rPr>
        <sz val="11"/>
        <color theme="1"/>
        <rFont val="Times New Roman"/>
        <family val="1"/>
      </rPr>
      <t>K/W]</t>
    </r>
    <phoneticPr fontId="1"/>
  </si>
  <si>
    <t>[mm]</t>
  </si>
  <si>
    <t>[mm]</t>
    <phoneticPr fontId="1"/>
  </si>
  <si>
    <t>[cm]</t>
    <phoneticPr fontId="1"/>
  </si>
  <si>
    <t>[m]</t>
    <phoneticPr fontId="1"/>
  </si>
  <si>
    <r>
      <t>[W/(m</t>
    </r>
    <r>
      <rPr>
        <sz val="11"/>
        <color theme="1"/>
        <rFont val="ＭＳ Ｐ明朝"/>
        <family val="1"/>
        <charset val="128"/>
      </rPr>
      <t>・</t>
    </r>
    <r>
      <rPr>
        <sz val="11"/>
        <color theme="1"/>
        <rFont val="Times New Roman"/>
        <family val="1"/>
      </rPr>
      <t>K)]</t>
    </r>
    <phoneticPr fontId="1"/>
  </si>
  <si>
    <t>入力者等：</t>
  </si>
  <si>
    <t>作成日等：</t>
  </si>
  <si>
    <t>建物(等)の名前：</t>
  </si>
  <si>
    <t>　項目</t>
    <rPh sb="1" eb="3">
      <t>コウモク</t>
    </rPh>
    <phoneticPr fontId="1"/>
  </si>
  <si>
    <t>単位等</t>
    <rPh sb="0" eb="2">
      <t>タンイ</t>
    </rPh>
    <rPh sb="2" eb="3">
      <t>トウ</t>
    </rPh>
    <phoneticPr fontId="1"/>
  </si>
  <si>
    <t>入力(選択)</t>
    <rPh sb="0" eb="2">
      <t>ニュウリョク</t>
    </rPh>
    <rPh sb="3" eb="5">
      <t>センタク</t>
    </rPh>
    <phoneticPr fontId="1"/>
  </si>
  <si>
    <t>　入力(選択)にあたっての注意事項</t>
    <rPh sb="1" eb="3">
      <t>ニュウリョク</t>
    </rPh>
    <rPh sb="4" eb="6">
      <t>センタク</t>
    </rPh>
    <rPh sb="13" eb="15">
      <t>チュウイ</t>
    </rPh>
    <rPh sb="15" eb="17">
      <t>ジコウ</t>
    </rPh>
    <phoneticPr fontId="1"/>
  </si>
  <si>
    <t>(選択)</t>
    <rPh sb="1" eb="3">
      <t>センタク</t>
    </rPh>
    <phoneticPr fontId="1"/>
  </si>
  <si>
    <t>「熱交換器なし」「井水槽なし」</t>
    <rPh sb="1" eb="2">
      <t>ネツ</t>
    </rPh>
    <rPh sb="2" eb="5">
      <t>コウカンキ</t>
    </rPh>
    <rPh sb="9" eb="11">
      <t>イスイ</t>
    </rPh>
    <rPh sb="11" eb="12">
      <t>ソウ</t>
    </rPh>
    <phoneticPr fontId="1"/>
  </si>
  <si>
    <t>「熱交換器なし」「井水槽あり」「熱交換後の熱源水を井水槽に戻さない」</t>
    <rPh sb="1" eb="2">
      <t>ネツ</t>
    </rPh>
    <rPh sb="2" eb="5">
      <t>コウカンキ</t>
    </rPh>
    <rPh sb="9" eb="11">
      <t>イスイ</t>
    </rPh>
    <rPh sb="11" eb="12">
      <t>ソウ</t>
    </rPh>
    <rPh sb="16" eb="17">
      <t>ネツ</t>
    </rPh>
    <rPh sb="17" eb="20">
      <t>コウカンゴ</t>
    </rPh>
    <rPh sb="21" eb="23">
      <t>ネツゲン</t>
    </rPh>
    <rPh sb="23" eb="24">
      <t>スイ</t>
    </rPh>
    <rPh sb="25" eb="27">
      <t>イスイ</t>
    </rPh>
    <rPh sb="27" eb="28">
      <t>ソウ</t>
    </rPh>
    <rPh sb="29" eb="30">
      <t>モド</t>
    </rPh>
    <phoneticPr fontId="1"/>
  </si>
  <si>
    <t>「熱交換器なし」「井水槽あり」「熱交換後の熱源水を井水槽に戻す」</t>
    <rPh sb="1" eb="2">
      <t>ネツ</t>
    </rPh>
    <rPh sb="2" eb="5">
      <t>コウカンキ</t>
    </rPh>
    <rPh sb="9" eb="11">
      <t>イスイ</t>
    </rPh>
    <rPh sb="11" eb="12">
      <t>ソウ</t>
    </rPh>
    <rPh sb="16" eb="17">
      <t>ネツ</t>
    </rPh>
    <rPh sb="17" eb="20">
      <t>コウカンゴ</t>
    </rPh>
    <rPh sb="21" eb="23">
      <t>ネツゲン</t>
    </rPh>
    <rPh sb="23" eb="24">
      <t>スイ</t>
    </rPh>
    <rPh sb="25" eb="27">
      <t>イスイ</t>
    </rPh>
    <rPh sb="27" eb="28">
      <t>ソウ</t>
    </rPh>
    <rPh sb="29" eb="30">
      <t>モド</t>
    </rPh>
    <phoneticPr fontId="1"/>
  </si>
  <si>
    <t>「熱交換器あり」「井水槽なし」</t>
    <rPh sb="1" eb="2">
      <t>ネツ</t>
    </rPh>
    <rPh sb="2" eb="5">
      <t>コウカンキ</t>
    </rPh>
    <rPh sb="9" eb="11">
      <t>イスイ</t>
    </rPh>
    <rPh sb="11" eb="12">
      <t>ソウ</t>
    </rPh>
    <phoneticPr fontId="1"/>
  </si>
  <si>
    <t>「熱交換器あり」「井水槽あり」「熱交換後の熱源水を井水槽に戻さない」</t>
    <rPh sb="1" eb="2">
      <t>ネツ</t>
    </rPh>
    <rPh sb="2" eb="5">
      <t>コウカンキ</t>
    </rPh>
    <rPh sb="9" eb="11">
      <t>イスイ</t>
    </rPh>
    <rPh sb="11" eb="12">
      <t>ソウ</t>
    </rPh>
    <rPh sb="16" eb="17">
      <t>ネツ</t>
    </rPh>
    <rPh sb="17" eb="20">
      <t>コウカンゴ</t>
    </rPh>
    <rPh sb="21" eb="23">
      <t>ネツゲン</t>
    </rPh>
    <rPh sb="23" eb="24">
      <t>スイ</t>
    </rPh>
    <rPh sb="25" eb="27">
      <t>イスイ</t>
    </rPh>
    <rPh sb="27" eb="28">
      <t>ソウ</t>
    </rPh>
    <rPh sb="29" eb="30">
      <t>モド</t>
    </rPh>
    <phoneticPr fontId="1"/>
  </si>
  <si>
    <t>「熱交換器あり」「井水槽あり」「熱交換後の熱源水を井水槽に戻す」</t>
    <rPh sb="1" eb="2">
      <t>ネツ</t>
    </rPh>
    <rPh sb="2" eb="5">
      <t>コウカンキ</t>
    </rPh>
    <rPh sb="9" eb="11">
      <t>イスイ</t>
    </rPh>
    <rPh sb="11" eb="12">
      <t>ソウ</t>
    </rPh>
    <rPh sb="16" eb="17">
      <t>ネツ</t>
    </rPh>
    <rPh sb="17" eb="20">
      <t>コウカンゴ</t>
    </rPh>
    <rPh sb="21" eb="23">
      <t>ネツゲン</t>
    </rPh>
    <rPh sb="23" eb="24">
      <t>スイ</t>
    </rPh>
    <rPh sb="25" eb="27">
      <t>イスイ</t>
    </rPh>
    <rPh sb="27" eb="28">
      <t>ソウ</t>
    </rPh>
    <rPh sb="29" eb="30">
      <t>モド</t>
    </rPh>
    <phoneticPr fontId="1"/>
  </si>
  <si>
    <t>※地中熱ヒートポンプの暖房時、冷房時の仕様をそれぞれ入力する。</t>
    <rPh sb="1" eb="3">
      <t>チチュウ</t>
    </rPh>
    <rPh sb="3" eb="4">
      <t>ネツ</t>
    </rPh>
    <rPh sb="13" eb="14">
      <t>ジ</t>
    </rPh>
    <rPh sb="17" eb="18">
      <t>ジ</t>
    </rPh>
    <rPh sb="19" eb="21">
      <t>シヨウ</t>
    </rPh>
    <rPh sb="26" eb="28">
      <t>ニュウリョク</t>
    </rPh>
    <phoneticPr fontId="1"/>
  </si>
  <si>
    <r>
      <rPr>
        <sz val="11"/>
        <color theme="1"/>
        <rFont val="Times New Roman"/>
        <family val="1"/>
      </rPr>
      <t xml:space="preserve">3-1) </t>
    </r>
    <r>
      <rPr>
        <sz val="11"/>
        <color theme="1"/>
        <rFont val="ＭＳ Ｐ明朝"/>
        <family val="1"/>
        <charset val="128"/>
      </rPr>
      <t>地中熱ヒートポンプの定格能力</t>
    </r>
    <r>
      <rPr>
        <sz val="11"/>
        <color theme="1"/>
        <rFont val="Times New Roman"/>
        <family val="1"/>
      </rPr>
      <t xml:space="preserve"> </t>
    </r>
    <r>
      <rPr>
        <i/>
        <sz val="11"/>
        <color theme="1"/>
        <rFont val="Times New Roman"/>
        <family val="1"/>
      </rPr>
      <t>Q</t>
    </r>
    <r>
      <rPr>
        <i/>
        <vertAlign val="subscript"/>
        <sz val="11"/>
        <color theme="1"/>
        <rFont val="Times New Roman"/>
        <family val="1"/>
      </rPr>
      <t>h</t>
    </r>
    <r>
      <rPr>
        <sz val="11"/>
        <color theme="1"/>
        <rFont val="Times New Roman"/>
        <family val="1"/>
      </rPr>
      <t xml:space="preserve">, </t>
    </r>
    <r>
      <rPr>
        <i/>
        <sz val="11"/>
        <color theme="1"/>
        <rFont val="Times New Roman"/>
        <family val="1"/>
      </rPr>
      <t>Q</t>
    </r>
    <r>
      <rPr>
        <i/>
        <vertAlign val="subscript"/>
        <sz val="11"/>
        <color theme="1"/>
        <rFont val="Times New Roman"/>
        <family val="1"/>
      </rPr>
      <t>c</t>
    </r>
    <rPh sb="5" eb="7">
      <t>チチュウ</t>
    </rPh>
    <rPh sb="7" eb="8">
      <t>ネツ</t>
    </rPh>
    <rPh sb="15" eb="17">
      <t>テイカク</t>
    </rPh>
    <rPh sb="17" eb="19">
      <t>ノウリョク</t>
    </rPh>
    <phoneticPr fontId="1"/>
  </si>
  <si>
    <r>
      <rPr>
        <sz val="11"/>
        <color theme="1"/>
        <rFont val="Times New Roman"/>
        <family val="1"/>
      </rPr>
      <t xml:space="preserve">3-2) </t>
    </r>
    <r>
      <rPr>
        <sz val="11"/>
        <color theme="1"/>
        <rFont val="ＭＳ Ｐ明朝"/>
        <family val="1"/>
        <charset val="128"/>
      </rPr>
      <t>地中熱ヒートポンプの定格消費電力</t>
    </r>
    <r>
      <rPr>
        <sz val="11"/>
        <color theme="1"/>
        <rFont val="Times New Roman"/>
        <family val="1"/>
      </rPr>
      <t xml:space="preserve"> </t>
    </r>
    <r>
      <rPr>
        <i/>
        <sz val="11"/>
        <color theme="1"/>
        <rFont val="Times New Roman"/>
        <family val="1"/>
      </rPr>
      <t>W</t>
    </r>
    <r>
      <rPr>
        <i/>
        <vertAlign val="subscript"/>
        <sz val="11"/>
        <color theme="1"/>
        <rFont val="Times New Roman"/>
        <family val="1"/>
      </rPr>
      <t>h</t>
    </r>
    <r>
      <rPr>
        <sz val="11"/>
        <color theme="1"/>
        <rFont val="Times New Roman"/>
        <family val="1"/>
      </rPr>
      <t xml:space="preserve">, </t>
    </r>
    <r>
      <rPr>
        <i/>
        <sz val="11"/>
        <color theme="1"/>
        <rFont val="Times New Roman"/>
        <family val="1"/>
      </rPr>
      <t>W</t>
    </r>
    <r>
      <rPr>
        <i/>
        <vertAlign val="subscript"/>
        <sz val="11"/>
        <color theme="1"/>
        <rFont val="Times New Roman"/>
        <family val="1"/>
      </rPr>
      <t>c</t>
    </r>
    <rPh sb="5" eb="7">
      <t>チチュウ</t>
    </rPh>
    <rPh sb="7" eb="8">
      <t>ネツ</t>
    </rPh>
    <rPh sb="15" eb="17">
      <t>テイカク</t>
    </rPh>
    <rPh sb="17" eb="19">
      <t>ショウヒ</t>
    </rPh>
    <rPh sb="19" eb="21">
      <t>デンリョク</t>
    </rPh>
    <phoneticPr fontId="1"/>
  </si>
  <si>
    <r>
      <rPr>
        <sz val="11"/>
        <color theme="1"/>
        <rFont val="Times New Roman"/>
        <family val="1"/>
      </rPr>
      <t xml:space="preserve">3-3) </t>
    </r>
    <r>
      <rPr>
        <sz val="11"/>
        <color theme="1"/>
        <rFont val="ＭＳ Ｐ明朝"/>
        <family val="1"/>
        <charset val="128"/>
      </rPr>
      <t>ヒートポンプ熱源水入口温度</t>
    </r>
    <r>
      <rPr>
        <sz val="11"/>
        <color theme="1"/>
        <rFont val="Times New Roman"/>
        <family val="1"/>
      </rPr>
      <t xml:space="preserve"> </t>
    </r>
    <r>
      <rPr>
        <i/>
        <sz val="11"/>
        <color theme="1"/>
        <rFont val="Times New Roman"/>
        <family val="1"/>
      </rPr>
      <t>T</t>
    </r>
    <r>
      <rPr>
        <i/>
        <vertAlign val="subscript"/>
        <sz val="11"/>
        <color theme="1"/>
        <rFont val="Times New Roman"/>
        <family val="1"/>
      </rPr>
      <t>i</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i/>
        <vertAlign val="subscript"/>
        <sz val="11"/>
        <color theme="1"/>
        <rFont val="Times New Roman"/>
        <family val="1"/>
      </rPr>
      <t>i</t>
    </r>
    <r>
      <rPr>
        <vertAlign val="subscript"/>
        <sz val="11"/>
        <color theme="1"/>
        <rFont val="Times New Roman"/>
        <family val="1"/>
      </rPr>
      <t>,</t>
    </r>
    <r>
      <rPr>
        <i/>
        <vertAlign val="subscript"/>
        <sz val="11"/>
        <color theme="1"/>
        <rFont val="Times New Roman"/>
        <family val="1"/>
      </rPr>
      <t>c</t>
    </r>
    <rPh sb="11" eb="13">
      <t>ネツゲン</t>
    </rPh>
    <rPh sb="13" eb="14">
      <t>スイ</t>
    </rPh>
    <rPh sb="14" eb="16">
      <t>イリグチ</t>
    </rPh>
    <rPh sb="16" eb="18">
      <t>オンド</t>
    </rPh>
    <phoneticPr fontId="1"/>
  </si>
  <si>
    <r>
      <rPr>
        <sz val="11"/>
        <color theme="1"/>
        <rFont val="Times New Roman"/>
        <family val="1"/>
      </rPr>
      <t xml:space="preserve">4-1) </t>
    </r>
    <r>
      <rPr>
        <sz val="11"/>
        <color theme="1"/>
        <rFont val="ＭＳ Ｐ明朝"/>
        <family val="1"/>
        <charset val="128"/>
      </rPr>
      <t>揚水ポンプの定格消費電力</t>
    </r>
    <r>
      <rPr>
        <i/>
        <sz val="11"/>
        <color theme="1"/>
        <rFont val="Times New Roman"/>
        <family val="1"/>
      </rPr>
      <t>W</t>
    </r>
    <r>
      <rPr>
        <vertAlign val="subscript"/>
        <sz val="11"/>
        <color theme="1"/>
        <rFont val="Times New Roman"/>
        <family val="1"/>
      </rPr>
      <t>0</t>
    </r>
    <rPh sb="5" eb="7">
      <t>ヨウスイ</t>
    </rPh>
    <rPh sb="11" eb="13">
      <t>テイカク</t>
    </rPh>
    <rPh sb="13" eb="15">
      <t>ショウヒ</t>
    </rPh>
    <rPh sb="15" eb="17">
      <t>デンリョク</t>
    </rPh>
    <phoneticPr fontId="1"/>
  </si>
  <si>
    <r>
      <rPr>
        <sz val="11"/>
        <color theme="1"/>
        <rFont val="Times New Roman"/>
        <family val="1"/>
      </rPr>
      <t xml:space="preserve">4-2) </t>
    </r>
    <r>
      <rPr>
        <sz val="11"/>
        <color theme="1"/>
        <rFont val="ＭＳ Ｐ明朝"/>
        <family val="1"/>
        <charset val="128"/>
      </rPr>
      <t>揚水ポンプの定格流量</t>
    </r>
    <r>
      <rPr>
        <i/>
        <sz val="11"/>
        <color theme="1"/>
        <rFont val="Times New Roman"/>
        <family val="1"/>
      </rPr>
      <t>V</t>
    </r>
    <r>
      <rPr>
        <vertAlign val="subscript"/>
        <sz val="11"/>
        <color theme="1"/>
        <rFont val="Times New Roman"/>
        <family val="1"/>
      </rPr>
      <t>0</t>
    </r>
    <rPh sb="5" eb="7">
      <t>ヨウスイ</t>
    </rPh>
    <rPh sb="11" eb="13">
      <t>テイカク</t>
    </rPh>
    <rPh sb="13" eb="15">
      <t>リュウリョウ</t>
    </rPh>
    <phoneticPr fontId="1"/>
  </si>
  <si>
    <r>
      <rPr>
        <sz val="11"/>
        <color theme="1"/>
        <rFont val="Times New Roman"/>
        <family val="1"/>
      </rPr>
      <t xml:space="preserve">4-3) </t>
    </r>
    <r>
      <rPr>
        <sz val="11"/>
        <color theme="1"/>
        <rFont val="ＭＳ Ｐ明朝"/>
        <family val="1"/>
        <charset val="128"/>
      </rPr>
      <t>熱源水ポンプ</t>
    </r>
    <r>
      <rPr>
        <sz val="11"/>
        <color theme="1"/>
        <rFont val="Times New Roman"/>
        <family val="1"/>
      </rPr>
      <t>1</t>
    </r>
    <r>
      <rPr>
        <sz val="11"/>
        <color theme="1"/>
        <rFont val="ＭＳ Ｐ明朝"/>
        <family val="1"/>
        <charset val="128"/>
      </rPr>
      <t>の定格消費電力</t>
    </r>
    <r>
      <rPr>
        <i/>
        <sz val="11"/>
        <color theme="1"/>
        <rFont val="Times New Roman"/>
        <family val="1"/>
      </rPr>
      <t>W</t>
    </r>
    <r>
      <rPr>
        <vertAlign val="subscript"/>
        <sz val="11"/>
        <color theme="1"/>
        <rFont val="Times New Roman"/>
        <family val="1"/>
      </rPr>
      <t>1</t>
    </r>
    <rPh sb="5" eb="7">
      <t>ネツゲン</t>
    </rPh>
    <rPh sb="7" eb="8">
      <t>スイ</t>
    </rPh>
    <rPh sb="13" eb="15">
      <t>テイカク</t>
    </rPh>
    <rPh sb="15" eb="17">
      <t>ショウヒ</t>
    </rPh>
    <rPh sb="17" eb="19">
      <t>デンリョク</t>
    </rPh>
    <phoneticPr fontId="1"/>
  </si>
  <si>
    <r>
      <rPr>
        <sz val="11"/>
        <color theme="1"/>
        <rFont val="Times New Roman"/>
        <family val="1"/>
      </rPr>
      <t xml:space="preserve">4-4) </t>
    </r>
    <r>
      <rPr>
        <sz val="11"/>
        <color theme="1"/>
        <rFont val="ＭＳ Ｐ明朝"/>
        <family val="1"/>
        <charset val="128"/>
      </rPr>
      <t>熱源水ポンプ</t>
    </r>
    <r>
      <rPr>
        <sz val="11"/>
        <color theme="1"/>
        <rFont val="Times New Roman"/>
        <family val="1"/>
      </rPr>
      <t>1</t>
    </r>
    <r>
      <rPr>
        <sz val="11"/>
        <color theme="1"/>
        <rFont val="ＭＳ Ｐ明朝"/>
        <family val="1"/>
        <charset val="128"/>
      </rPr>
      <t>の定格流量</t>
    </r>
    <r>
      <rPr>
        <i/>
        <sz val="11"/>
        <color theme="1"/>
        <rFont val="Times New Roman"/>
        <family val="1"/>
      </rPr>
      <t>V</t>
    </r>
    <r>
      <rPr>
        <vertAlign val="subscript"/>
        <sz val="11"/>
        <color theme="1"/>
        <rFont val="Times New Roman"/>
        <family val="1"/>
      </rPr>
      <t>0</t>
    </r>
    <rPh sb="5" eb="7">
      <t>ネツゲン</t>
    </rPh>
    <rPh sb="7" eb="8">
      <t>スイ</t>
    </rPh>
    <rPh sb="13" eb="15">
      <t>テイカク</t>
    </rPh>
    <rPh sb="15" eb="17">
      <t>リュウリョウ</t>
    </rPh>
    <phoneticPr fontId="1"/>
  </si>
  <si>
    <r>
      <rPr>
        <sz val="11"/>
        <color theme="1"/>
        <rFont val="Times New Roman"/>
        <family val="1"/>
      </rPr>
      <t xml:space="preserve">4-5) </t>
    </r>
    <r>
      <rPr>
        <sz val="11"/>
        <color theme="1"/>
        <rFont val="ＭＳ Ｐ明朝"/>
        <family val="1"/>
        <charset val="128"/>
      </rPr>
      <t>熱源水ポンプ</t>
    </r>
    <r>
      <rPr>
        <sz val="11"/>
        <color theme="1"/>
        <rFont val="Times New Roman"/>
        <family val="1"/>
      </rPr>
      <t>2</t>
    </r>
    <r>
      <rPr>
        <sz val="11"/>
        <color theme="1"/>
        <rFont val="ＭＳ Ｐ明朝"/>
        <family val="1"/>
        <charset val="128"/>
      </rPr>
      <t>の定格消費電力</t>
    </r>
    <r>
      <rPr>
        <i/>
        <sz val="11"/>
        <color theme="1"/>
        <rFont val="Times New Roman"/>
        <family val="1"/>
      </rPr>
      <t>W</t>
    </r>
    <r>
      <rPr>
        <vertAlign val="subscript"/>
        <sz val="11"/>
        <color theme="1"/>
        <rFont val="Times New Roman"/>
        <family val="1"/>
      </rPr>
      <t>2</t>
    </r>
    <rPh sb="5" eb="7">
      <t>ネツゲン</t>
    </rPh>
    <rPh sb="7" eb="8">
      <t>スイ</t>
    </rPh>
    <rPh sb="13" eb="15">
      <t>テイカク</t>
    </rPh>
    <rPh sb="15" eb="17">
      <t>ショウヒ</t>
    </rPh>
    <rPh sb="17" eb="19">
      <t>デンリョク</t>
    </rPh>
    <phoneticPr fontId="1"/>
  </si>
  <si>
    <t>※ポンプの消費電力、流量の定格値を入力する。</t>
    <rPh sb="5" eb="7">
      <t>ショウヒ</t>
    </rPh>
    <rPh sb="7" eb="9">
      <t>デンリョク</t>
    </rPh>
    <rPh sb="10" eb="12">
      <t>リュウリョウ</t>
    </rPh>
    <rPh sb="13" eb="16">
      <t>テイカクチ</t>
    </rPh>
    <rPh sb="17" eb="19">
      <t>ニュウリョク</t>
    </rPh>
    <phoneticPr fontId="1"/>
  </si>
  <si>
    <r>
      <t xml:space="preserve">5) </t>
    </r>
    <r>
      <rPr>
        <sz val="11"/>
        <color theme="1"/>
        <rFont val="ＭＳ Ｐ明朝"/>
        <family val="1"/>
        <charset val="128"/>
      </rPr>
      <t>熱交換器に係るパラメータ</t>
    </r>
    <rPh sb="3" eb="4">
      <t>ネツ</t>
    </rPh>
    <rPh sb="4" eb="7">
      <t>コウカンキ</t>
    </rPh>
    <rPh sb="8" eb="9">
      <t>カカ</t>
    </rPh>
    <phoneticPr fontId="1"/>
  </si>
  <si>
    <r>
      <rPr>
        <sz val="11"/>
        <color theme="1"/>
        <rFont val="Times New Roman"/>
        <family val="1"/>
      </rPr>
      <t xml:space="preserve">5-1) </t>
    </r>
    <r>
      <rPr>
        <sz val="11"/>
        <color theme="1"/>
        <rFont val="ＭＳ Ｐ明朝"/>
        <family val="1"/>
        <charset val="128"/>
      </rPr>
      <t>熱交換器設計一次側流体入口温度</t>
    </r>
    <r>
      <rPr>
        <sz val="11"/>
        <color theme="1"/>
        <rFont val="Times New Roman"/>
        <family val="1"/>
      </rPr>
      <t xml:space="preserve"> </t>
    </r>
    <r>
      <rPr>
        <i/>
        <sz val="11"/>
        <color theme="1"/>
        <rFont val="Times New Roman"/>
        <family val="1"/>
      </rPr>
      <t>T</t>
    </r>
    <r>
      <rPr>
        <vertAlign val="subscript"/>
        <sz val="11"/>
        <color theme="1"/>
        <rFont val="Times New Roman"/>
        <family val="1"/>
      </rPr>
      <t>1</t>
    </r>
    <r>
      <rPr>
        <i/>
        <vertAlign val="subscript"/>
        <sz val="11"/>
        <color theme="1"/>
        <rFont val="Times New Roman"/>
        <family val="1"/>
      </rPr>
      <t>i</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vertAlign val="subscript"/>
        <sz val="11"/>
        <color theme="1"/>
        <rFont val="Times New Roman"/>
        <family val="1"/>
      </rPr>
      <t>1</t>
    </r>
    <r>
      <rPr>
        <i/>
        <vertAlign val="subscript"/>
        <sz val="11"/>
        <color theme="1"/>
        <rFont val="Times New Roman"/>
        <family val="1"/>
      </rPr>
      <t>i</t>
    </r>
    <r>
      <rPr>
        <vertAlign val="subscript"/>
        <sz val="11"/>
        <color theme="1"/>
        <rFont val="Times New Roman"/>
        <family val="1"/>
      </rPr>
      <t>,</t>
    </r>
    <r>
      <rPr>
        <i/>
        <vertAlign val="subscript"/>
        <sz val="11"/>
        <color theme="1"/>
        <rFont val="Times New Roman"/>
        <family val="1"/>
      </rPr>
      <t>c</t>
    </r>
    <phoneticPr fontId="1"/>
  </si>
  <si>
    <r>
      <rPr>
        <sz val="11"/>
        <color theme="1"/>
        <rFont val="Times New Roman"/>
        <family val="1"/>
      </rPr>
      <t xml:space="preserve">5-2) </t>
    </r>
    <r>
      <rPr>
        <sz val="11"/>
        <color theme="1"/>
        <rFont val="ＭＳ Ｐ明朝"/>
        <family val="1"/>
        <charset val="128"/>
      </rPr>
      <t>熱交換器設計一次側流体出口温度</t>
    </r>
    <r>
      <rPr>
        <sz val="11"/>
        <color theme="1"/>
        <rFont val="Times New Roman"/>
        <family val="1"/>
      </rPr>
      <t xml:space="preserve"> </t>
    </r>
    <r>
      <rPr>
        <i/>
        <sz val="11"/>
        <color theme="1"/>
        <rFont val="Times New Roman"/>
        <family val="1"/>
      </rPr>
      <t>T</t>
    </r>
    <r>
      <rPr>
        <vertAlign val="subscript"/>
        <sz val="11"/>
        <color theme="1"/>
        <rFont val="Times New Roman"/>
        <family val="1"/>
      </rPr>
      <t>1</t>
    </r>
    <r>
      <rPr>
        <i/>
        <vertAlign val="subscript"/>
        <sz val="11"/>
        <color theme="1"/>
        <rFont val="Times New Roman"/>
        <family val="1"/>
      </rPr>
      <t>o</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vertAlign val="subscript"/>
        <sz val="11"/>
        <color theme="1"/>
        <rFont val="Times New Roman"/>
        <family val="1"/>
      </rPr>
      <t>1</t>
    </r>
    <r>
      <rPr>
        <i/>
        <vertAlign val="subscript"/>
        <sz val="11"/>
        <color theme="1"/>
        <rFont val="Times New Roman"/>
        <family val="1"/>
      </rPr>
      <t>o</t>
    </r>
    <r>
      <rPr>
        <vertAlign val="subscript"/>
        <sz val="11"/>
        <color theme="1"/>
        <rFont val="Times New Roman"/>
        <family val="1"/>
      </rPr>
      <t>,</t>
    </r>
    <r>
      <rPr>
        <i/>
        <vertAlign val="subscript"/>
        <sz val="11"/>
        <color theme="1"/>
        <rFont val="Times New Roman"/>
        <family val="1"/>
      </rPr>
      <t>c</t>
    </r>
    <rPh sb="16" eb="17">
      <t>デ</t>
    </rPh>
    <phoneticPr fontId="1"/>
  </si>
  <si>
    <r>
      <rPr>
        <sz val="11"/>
        <color theme="1"/>
        <rFont val="Times New Roman"/>
        <family val="1"/>
      </rPr>
      <t xml:space="preserve">5-3) </t>
    </r>
    <r>
      <rPr>
        <sz val="11"/>
        <color theme="1"/>
        <rFont val="ＭＳ Ｐ明朝"/>
        <family val="1"/>
        <charset val="128"/>
      </rPr>
      <t>熱交換器設計二次側流体入口温度</t>
    </r>
    <r>
      <rPr>
        <sz val="11"/>
        <color theme="1"/>
        <rFont val="Times New Roman"/>
        <family val="1"/>
      </rPr>
      <t xml:space="preserve"> </t>
    </r>
    <r>
      <rPr>
        <i/>
        <sz val="11"/>
        <color theme="1"/>
        <rFont val="Times New Roman"/>
        <family val="1"/>
      </rPr>
      <t>T</t>
    </r>
    <r>
      <rPr>
        <vertAlign val="subscript"/>
        <sz val="11"/>
        <color theme="1"/>
        <rFont val="Times New Roman"/>
        <family val="1"/>
      </rPr>
      <t>2</t>
    </r>
    <r>
      <rPr>
        <i/>
        <vertAlign val="subscript"/>
        <sz val="11"/>
        <color theme="1"/>
        <rFont val="Times New Roman"/>
        <family val="1"/>
      </rPr>
      <t>i</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vertAlign val="subscript"/>
        <sz val="11"/>
        <color theme="1"/>
        <rFont val="Times New Roman"/>
        <family val="1"/>
      </rPr>
      <t>2</t>
    </r>
    <r>
      <rPr>
        <i/>
        <vertAlign val="subscript"/>
        <sz val="11"/>
        <color theme="1"/>
        <rFont val="Times New Roman"/>
        <family val="1"/>
      </rPr>
      <t>i</t>
    </r>
    <r>
      <rPr>
        <vertAlign val="subscript"/>
        <sz val="11"/>
        <color theme="1"/>
        <rFont val="Times New Roman"/>
        <family val="1"/>
      </rPr>
      <t>,</t>
    </r>
    <r>
      <rPr>
        <i/>
        <vertAlign val="subscript"/>
        <sz val="11"/>
        <color theme="1"/>
        <rFont val="Times New Roman"/>
        <family val="1"/>
      </rPr>
      <t>c</t>
    </r>
    <rPh sb="11" eb="13">
      <t>ニジ</t>
    </rPh>
    <phoneticPr fontId="1"/>
  </si>
  <si>
    <r>
      <rPr>
        <sz val="11"/>
        <color theme="1"/>
        <rFont val="Times New Roman"/>
        <family val="1"/>
      </rPr>
      <t xml:space="preserve">5-4) </t>
    </r>
    <r>
      <rPr>
        <sz val="11"/>
        <color theme="1"/>
        <rFont val="ＭＳ Ｐ明朝"/>
        <family val="1"/>
        <charset val="128"/>
      </rPr>
      <t>熱交換器設計二次側流体出口温度</t>
    </r>
    <r>
      <rPr>
        <sz val="11"/>
        <color theme="1"/>
        <rFont val="Times New Roman"/>
        <family val="1"/>
      </rPr>
      <t xml:space="preserve"> </t>
    </r>
    <r>
      <rPr>
        <i/>
        <sz val="11"/>
        <color theme="1"/>
        <rFont val="Times New Roman"/>
        <family val="1"/>
      </rPr>
      <t>T</t>
    </r>
    <r>
      <rPr>
        <vertAlign val="subscript"/>
        <sz val="11"/>
        <color theme="1"/>
        <rFont val="Times New Roman"/>
        <family val="1"/>
      </rPr>
      <t>2</t>
    </r>
    <r>
      <rPr>
        <i/>
        <vertAlign val="subscript"/>
        <sz val="11"/>
        <color theme="1"/>
        <rFont val="Times New Roman"/>
        <family val="1"/>
      </rPr>
      <t>o</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vertAlign val="subscript"/>
        <sz val="11"/>
        <color theme="1"/>
        <rFont val="Times New Roman"/>
        <family val="1"/>
      </rPr>
      <t>2</t>
    </r>
    <r>
      <rPr>
        <i/>
        <vertAlign val="subscript"/>
        <sz val="11"/>
        <color theme="1"/>
        <rFont val="Times New Roman"/>
        <family val="1"/>
      </rPr>
      <t>o</t>
    </r>
    <r>
      <rPr>
        <vertAlign val="subscript"/>
        <sz val="11"/>
        <color theme="1"/>
        <rFont val="Times New Roman"/>
        <family val="1"/>
      </rPr>
      <t>,</t>
    </r>
    <r>
      <rPr>
        <i/>
        <vertAlign val="subscript"/>
        <sz val="11"/>
        <color theme="1"/>
        <rFont val="Times New Roman"/>
        <family val="1"/>
      </rPr>
      <t>c</t>
    </r>
    <rPh sb="11" eb="13">
      <t>ニジ</t>
    </rPh>
    <rPh sb="16" eb="17">
      <t>デ</t>
    </rPh>
    <phoneticPr fontId="1"/>
  </si>
  <si>
    <r>
      <t xml:space="preserve">6) </t>
    </r>
    <r>
      <rPr>
        <sz val="11"/>
        <color theme="1"/>
        <rFont val="ＭＳ Ｐ明朝"/>
        <family val="1"/>
        <charset val="128"/>
      </rPr>
      <t>井水槽に係るパラメータ</t>
    </r>
    <rPh sb="3" eb="5">
      <t>イスイ</t>
    </rPh>
    <rPh sb="5" eb="6">
      <t>ソウ</t>
    </rPh>
    <rPh sb="7" eb="8">
      <t>カカ</t>
    </rPh>
    <phoneticPr fontId="1"/>
  </si>
  <si>
    <r>
      <rPr>
        <sz val="11"/>
        <color theme="1"/>
        <rFont val="Times New Roman"/>
        <family val="1"/>
      </rPr>
      <t xml:space="preserve">6-1) </t>
    </r>
    <r>
      <rPr>
        <sz val="11"/>
        <color theme="1"/>
        <rFont val="ＭＳ Ｐ明朝"/>
        <family val="1"/>
        <charset val="128"/>
      </rPr>
      <t>設計井水槽容量</t>
    </r>
    <r>
      <rPr>
        <sz val="11"/>
        <color theme="1"/>
        <rFont val="Times New Roman"/>
        <family val="1"/>
      </rPr>
      <t xml:space="preserve"> </t>
    </r>
    <r>
      <rPr>
        <i/>
        <sz val="11"/>
        <color theme="1"/>
        <rFont val="Times New Roman"/>
        <family val="1"/>
      </rPr>
      <t>M</t>
    </r>
    <r>
      <rPr>
        <i/>
        <vertAlign val="subscript"/>
        <sz val="11"/>
        <color theme="1"/>
        <rFont val="Times New Roman"/>
        <family val="1"/>
      </rPr>
      <t>wt</t>
    </r>
    <rPh sb="5" eb="7">
      <t>セッケイ</t>
    </rPh>
    <rPh sb="7" eb="9">
      <t>イスイ</t>
    </rPh>
    <rPh sb="9" eb="10">
      <t>ソウ</t>
    </rPh>
    <rPh sb="10" eb="12">
      <t>ヨウリョウ</t>
    </rPh>
    <phoneticPr fontId="1"/>
  </si>
  <si>
    <r>
      <rPr>
        <sz val="11"/>
        <color theme="1"/>
        <rFont val="Times New Roman"/>
        <family val="1"/>
      </rPr>
      <t xml:space="preserve">6-2) </t>
    </r>
    <r>
      <rPr>
        <sz val="11"/>
        <color theme="1"/>
        <rFont val="ＭＳ Ｐ明朝"/>
        <family val="1"/>
        <charset val="128"/>
      </rPr>
      <t>負荷時間</t>
    </r>
    <r>
      <rPr>
        <sz val="11"/>
        <color theme="1"/>
        <rFont val="Times New Roman"/>
        <family val="1"/>
      </rPr>
      <t xml:space="preserve"> </t>
    </r>
    <r>
      <rPr>
        <i/>
        <sz val="11"/>
        <color theme="1"/>
        <rFont val="Times New Roman"/>
        <family val="1"/>
      </rPr>
      <t>t</t>
    </r>
    <r>
      <rPr>
        <i/>
        <vertAlign val="subscript"/>
        <sz val="11"/>
        <color theme="1"/>
        <rFont val="Times New Roman"/>
        <family val="1"/>
      </rPr>
      <t>load</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i/>
        <vertAlign val="subscript"/>
        <sz val="11"/>
        <color theme="1"/>
        <rFont val="Times New Roman"/>
        <family val="1"/>
      </rPr>
      <t>load</t>
    </r>
    <r>
      <rPr>
        <vertAlign val="subscript"/>
        <sz val="11"/>
        <color theme="1"/>
        <rFont val="Times New Roman"/>
        <family val="1"/>
      </rPr>
      <t>,</t>
    </r>
    <r>
      <rPr>
        <i/>
        <vertAlign val="subscript"/>
        <sz val="11"/>
        <color theme="1"/>
        <rFont val="Times New Roman"/>
        <family val="1"/>
      </rPr>
      <t>c</t>
    </r>
    <rPh sb="5" eb="7">
      <t>フカ</t>
    </rPh>
    <rPh sb="7" eb="9">
      <t>ジカン</t>
    </rPh>
    <phoneticPr fontId="1"/>
  </si>
  <si>
    <t>※井水槽のパラメータを入力する。</t>
    <rPh sb="1" eb="3">
      <t>イスイ</t>
    </rPh>
    <rPh sb="3" eb="4">
      <t>ソウ</t>
    </rPh>
    <rPh sb="11" eb="13">
      <t>ニュウリョク</t>
    </rPh>
    <phoneticPr fontId="1"/>
  </si>
  <si>
    <t>※井水槽が外気に開放された空間に設置されている場合には「○」を選択し、以下の井水槽の断熱性能を入力する。</t>
    <rPh sb="1" eb="3">
      <t>イスイ</t>
    </rPh>
    <rPh sb="3" eb="4">
      <t>ソウ</t>
    </rPh>
    <rPh sb="5" eb="7">
      <t>ガイキ</t>
    </rPh>
    <rPh sb="8" eb="10">
      <t>カイホウ</t>
    </rPh>
    <rPh sb="13" eb="15">
      <t>クウカン</t>
    </rPh>
    <rPh sb="16" eb="18">
      <t>セッチ</t>
    </rPh>
    <rPh sb="23" eb="25">
      <t>バアイ</t>
    </rPh>
    <rPh sb="31" eb="33">
      <t>センタク</t>
    </rPh>
    <rPh sb="35" eb="37">
      <t>イカ</t>
    </rPh>
    <rPh sb="38" eb="40">
      <t>イスイ</t>
    </rPh>
    <rPh sb="40" eb="41">
      <t>ソウ</t>
    </rPh>
    <rPh sb="42" eb="44">
      <t>ダンネツ</t>
    </rPh>
    <rPh sb="44" eb="46">
      <t>セイノウ</t>
    </rPh>
    <rPh sb="47" eb="49">
      <t>ニュウリョク</t>
    </rPh>
    <phoneticPr fontId="1"/>
  </si>
  <si>
    <t>●熱源水ポンプ群合計消費電力の計算</t>
    <rPh sb="15" eb="17">
      <t>ケイサン</t>
    </rPh>
    <phoneticPr fontId="1"/>
  </si>
  <si>
    <t>単位</t>
    <rPh sb="0" eb="2">
      <t>タンイ</t>
    </rPh>
    <phoneticPr fontId="1"/>
  </si>
  <si>
    <t>計算値</t>
    <rPh sb="0" eb="3">
      <t>ケイサンチ</t>
    </rPh>
    <phoneticPr fontId="1"/>
  </si>
  <si>
    <r>
      <rPr>
        <sz val="11"/>
        <color theme="1"/>
        <rFont val="ＭＳ Ｐ明朝"/>
        <family val="1"/>
        <charset val="128"/>
      </rPr>
      <t>熱源水ポンプ群合計消費電力</t>
    </r>
    <r>
      <rPr>
        <sz val="11"/>
        <color theme="1"/>
        <rFont val="Times New Roman"/>
        <family val="1"/>
      </rPr>
      <t xml:space="preserve"> </t>
    </r>
    <r>
      <rPr>
        <i/>
        <sz val="11"/>
        <color theme="1"/>
        <rFont val="Times New Roman"/>
        <family val="1"/>
      </rPr>
      <t>W</t>
    </r>
    <r>
      <rPr>
        <sz val="11"/>
        <color theme="1"/>
        <rFont val="Times New Roman"/>
        <family val="1"/>
      </rPr>
      <t>'</t>
    </r>
    <rPh sb="0" eb="2">
      <t>ネツゲン</t>
    </rPh>
    <rPh sb="2" eb="3">
      <t>スイ</t>
    </rPh>
    <rPh sb="6" eb="7">
      <t>グン</t>
    </rPh>
    <rPh sb="7" eb="9">
      <t>ゴウケイ</t>
    </rPh>
    <rPh sb="9" eb="11">
      <t>ショウヒ</t>
    </rPh>
    <rPh sb="11" eb="13">
      <t>デンリョク</t>
    </rPh>
    <phoneticPr fontId="1"/>
  </si>
  <si>
    <t>●設計の妥当性の確認</t>
    <rPh sb="1" eb="3">
      <t>セッケイ</t>
    </rPh>
    <rPh sb="4" eb="7">
      <t>ダトウセイ</t>
    </rPh>
    <rPh sb="8" eb="10">
      <t>カクニン</t>
    </rPh>
    <phoneticPr fontId="1"/>
  </si>
  <si>
    <t>熱源・空調系統：</t>
    <rPh sb="0" eb="2">
      <t>ネツゲン</t>
    </rPh>
    <rPh sb="3" eb="5">
      <t>クウチョウ</t>
    </rPh>
    <rPh sb="5" eb="7">
      <t>ケイトウ</t>
    </rPh>
    <phoneticPr fontId="1"/>
  </si>
  <si>
    <r>
      <rPr>
        <sz val="11"/>
        <color theme="1"/>
        <rFont val="ＭＳ Ｐ明朝"/>
        <family val="1"/>
        <charset val="128"/>
      </rPr>
      <t>【タイプ</t>
    </r>
    <r>
      <rPr>
        <sz val="11"/>
        <color theme="1"/>
        <rFont val="Times New Roman"/>
        <family val="1"/>
      </rPr>
      <t>B, E</t>
    </r>
    <r>
      <rPr>
        <sz val="11"/>
        <color theme="1"/>
        <rFont val="ＭＳ Ｐ明朝"/>
        <family val="1"/>
        <charset val="128"/>
      </rPr>
      <t>】負荷時間外の貯水時間で井水槽を満水にできるか</t>
    </r>
    <rPh sb="9" eb="11">
      <t>フカ</t>
    </rPh>
    <rPh sb="11" eb="13">
      <t>ジカン</t>
    </rPh>
    <rPh sb="13" eb="14">
      <t>ガイ</t>
    </rPh>
    <rPh sb="15" eb="17">
      <t>チョスイ</t>
    </rPh>
    <rPh sb="17" eb="19">
      <t>ジカン</t>
    </rPh>
    <rPh sb="20" eb="21">
      <t>イ</t>
    </rPh>
    <rPh sb="21" eb="23">
      <t>スイソウ</t>
    </rPh>
    <rPh sb="24" eb="26">
      <t>マンスイ</t>
    </rPh>
    <phoneticPr fontId="1"/>
  </si>
  <si>
    <r>
      <rPr>
        <sz val="11"/>
        <color theme="1"/>
        <rFont val="ＭＳ Ｐ明朝"/>
        <family val="1"/>
        <charset val="128"/>
      </rPr>
      <t>【タイプ</t>
    </r>
    <r>
      <rPr>
        <sz val="11"/>
        <color theme="1"/>
        <rFont val="Times New Roman"/>
        <family val="1"/>
      </rPr>
      <t>A, D</t>
    </r>
    <r>
      <rPr>
        <sz val="11"/>
        <color theme="1"/>
        <rFont val="ＭＳ Ｐ明朝"/>
        <family val="1"/>
        <charset val="128"/>
      </rPr>
      <t>】設計揚水量は必要熱源水量をみたしているか</t>
    </r>
    <rPh sb="9" eb="11">
      <t>セッケイ</t>
    </rPh>
    <rPh sb="11" eb="14">
      <t>ヨウスイリョウ</t>
    </rPh>
    <rPh sb="15" eb="17">
      <t>ヒツヨウ</t>
    </rPh>
    <rPh sb="17" eb="19">
      <t>ネツゲン</t>
    </rPh>
    <rPh sb="19" eb="21">
      <t>スイリョウ</t>
    </rPh>
    <phoneticPr fontId="1"/>
  </si>
  <si>
    <r>
      <rPr>
        <sz val="11"/>
        <color theme="1"/>
        <rFont val="ＭＳ Ｐ明朝"/>
        <family val="1"/>
        <charset val="128"/>
      </rPr>
      <t>【タイプ</t>
    </r>
    <r>
      <rPr>
        <sz val="11"/>
        <color theme="1"/>
        <rFont val="Times New Roman"/>
        <family val="1"/>
      </rPr>
      <t>C, F</t>
    </r>
    <r>
      <rPr>
        <sz val="11"/>
        <color theme="1"/>
        <rFont val="ＭＳ Ｐ明朝"/>
        <family val="1"/>
        <charset val="128"/>
      </rPr>
      <t>】揚水量と熱源水の循環流量のバランスはとれているか</t>
    </r>
    <rPh sb="13" eb="15">
      <t>ネツゲン</t>
    </rPh>
    <rPh sb="15" eb="16">
      <t>スイ</t>
    </rPh>
    <rPh sb="17" eb="19">
      <t>ジュンカン</t>
    </rPh>
    <phoneticPr fontId="1"/>
  </si>
  <si>
    <r>
      <rPr>
        <sz val="11"/>
        <color theme="1"/>
        <rFont val="ＭＳ Ｐ明朝"/>
        <family val="1"/>
        <charset val="128"/>
      </rPr>
      <t>【タイプ</t>
    </r>
    <r>
      <rPr>
        <sz val="11"/>
        <color theme="1"/>
        <rFont val="Times New Roman"/>
        <family val="1"/>
      </rPr>
      <t>B, E</t>
    </r>
    <r>
      <rPr>
        <sz val="11"/>
        <color theme="1"/>
        <rFont val="ＭＳ Ｐ明朝"/>
        <family val="1"/>
        <charset val="128"/>
      </rPr>
      <t>】負荷時間の送水量に対し、井水槽容量は十分か</t>
    </r>
    <rPh sb="9" eb="11">
      <t>フカ</t>
    </rPh>
    <rPh sb="11" eb="13">
      <t>ジカン</t>
    </rPh>
    <rPh sb="14" eb="16">
      <t>ソウスイ</t>
    </rPh>
    <rPh sb="16" eb="17">
      <t>リョウ</t>
    </rPh>
    <rPh sb="18" eb="19">
      <t>タイ</t>
    </rPh>
    <rPh sb="27" eb="29">
      <t>ジュウブン</t>
    </rPh>
    <phoneticPr fontId="1"/>
  </si>
  <si>
    <r>
      <rPr>
        <sz val="11"/>
        <color theme="1"/>
        <rFont val="ＭＳ Ｐ明朝"/>
        <family val="1"/>
        <charset val="128"/>
      </rPr>
      <t>※計算した</t>
    </r>
    <r>
      <rPr>
        <i/>
        <sz val="11"/>
        <color theme="1"/>
        <rFont val="Times New Roman"/>
        <family val="1"/>
      </rPr>
      <t>W</t>
    </r>
    <r>
      <rPr>
        <sz val="11"/>
        <color theme="1"/>
        <rFont val="Times New Roman"/>
        <family val="1"/>
      </rPr>
      <t>'</t>
    </r>
    <r>
      <rPr>
        <sz val="11"/>
        <color theme="1"/>
        <rFont val="ＭＳ Ｐ明朝"/>
        <family val="1"/>
        <charset val="128"/>
      </rPr>
      <t>を熱源水ポンプ群合計消費電力として一次エネルギー消費量計算プログラムに入力する。</t>
    </r>
    <rPh sb="1" eb="3">
      <t>ケイサン</t>
    </rPh>
    <rPh sb="8" eb="10">
      <t>ネツゲン</t>
    </rPh>
    <rPh sb="10" eb="11">
      <t>スイ</t>
    </rPh>
    <rPh sb="14" eb="15">
      <t>グン</t>
    </rPh>
    <rPh sb="15" eb="17">
      <t>ゴウケイ</t>
    </rPh>
    <rPh sb="17" eb="19">
      <t>ショウヒ</t>
    </rPh>
    <rPh sb="19" eb="21">
      <t>デンリョク</t>
    </rPh>
    <rPh sb="24" eb="26">
      <t>イチジ</t>
    </rPh>
    <rPh sb="31" eb="34">
      <t>ショウヒリョウ</t>
    </rPh>
    <rPh sb="34" eb="36">
      <t>ケイサン</t>
    </rPh>
    <rPh sb="42" eb="44">
      <t>ニュウリョク</t>
    </rPh>
    <phoneticPr fontId="1"/>
  </si>
  <si>
    <t>※地中熱ヒートポンプに必要とされる熱源水量を計算する。</t>
    <rPh sb="1" eb="3">
      <t>チチュウ</t>
    </rPh>
    <rPh sb="3" eb="4">
      <t>ネツ</t>
    </rPh>
    <rPh sb="11" eb="13">
      <t>ヒツヨウ</t>
    </rPh>
    <rPh sb="17" eb="19">
      <t>ネツゲン</t>
    </rPh>
    <rPh sb="19" eb="21">
      <t>スイリョウ</t>
    </rPh>
    <rPh sb="22" eb="24">
      <t>ケイサン</t>
    </rPh>
    <phoneticPr fontId="1"/>
  </si>
  <si>
    <r>
      <rPr>
        <sz val="11"/>
        <color theme="1"/>
        <rFont val="Times New Roman"/>
        <family val="1"/>
      </rPr>
      <t xml:space="preserve">a-1) </t>
    </r>
    <r>
      <rPr>
        <sz val="11"/>
        <color theme="1"/>
        <rFont val="ＭＳ Ｐ明朝"/>
        <family val="1"/>
        <charset val="128"/>
      </rPr>
      <t>熱源水利用温度差</t>
    </r>
    <r>
      <rPr>
        <sz val="11"/>
        <color theme="1"/>
        <rFont val="Times New Roman"/>
        <family val="1"/>
      </rPr>
      <t xml:space="preserve"> Δ</t>
    </r>
    <r>
      <rPr>
        <i/>
        <sz val="11"/>
        <color theme="1"/>
        <rFont val="Times New Roman"/>
        <family val="1"/>
      </rPr>
      <t>T</t>
    </r>
    <r>
      <rPr>
        <i/>
        <vertAlign val="subscript"/>
        <sz val="11"/>
        <color theme="1"/>
        <rFont val="Times New Roman"/>
        <family val="1"/>
      </rPr>
      <t>h</t>
    </r>
    <r>
      <rPr>
        <sz val="11"/>
        <color theme="1"/>
        <rFont val="Times New Roman"/>
        <family val="1"/>
      </rPr>
      <t>, Δ</t>
    </r>
    <r>
      <rPr>
        <i/>
        <sz val="11"/>
        <color theme="1"/>
        <rFont val="Times New Roman"/>
        <family val="1"/>
      </rPr>
      <t>T</t>
    </r>
    <r>
      <rPr>
        <i/>
        <vertAlign val="subscript"/>
        <sz val="11"/>
        <color theme="1"/>
        <rFont val="Times New Roman"/>
        <family val="1"/>
      </rPr>
      <t>c</t>
    </r>
    <rPh sb="5" eb="7">
      <t>ネツゲン</t>
    </rPh>
    <rPh sb="7" eb="8">
      <t>スイ</t>
    </rPh>
    <rPh sb="8" eb="10">
      <t>リヨウ</t>
    </rPh>
    <rPh sb="10" eb="13">
      <t>オンドサ</t>
    </rPh>
    <phoneticPr fontId="1"/>
  </si>
  <si>
    <r>
      <rPr>
        <sz val="11"/>
        <color theme="1"/>
        <rFont val="Times New Roman"/>
        <family val="1"/>
      </rPr>
      <t xml:space="preserve">a-2) </t>
    </r>
    <r>
      <rPr>
        <sz val="11"/>
        <color theme="1"/>
        <rFont val="ＭＳ Ｐ明朝"/>
        <family val="1"/>
        <charset val="128"/>
      </rPr>
      <t>最大熱交換量</t>
    </r>
    <r>
      <rPr>
        <sz val="11"/>
        <color theme="1"/>
        <rFont val="Times New Roman"/>
        <family val="1"/>
      </rPr>
      <t xml:space="preserve"> </t>
    </r>
    <r>
      <rPr>
        <i/>
        <sz val="11"/>
        <color theme="1"/>
        <rFont val="Times New Roman"/>
        <family val="1"/>
      </rPr>
      <t>Q</t>
    </r>
    <r>
      <rPr>
        <i/>
        <vertAlign val="subscript"/>
        <sz val="11"/>
        <color theme="1"/>
        <rFont val="Times New Roman"/>
        <family val="1"/>
      </rPr>
      <t>h</t>
    </r>
    <r>
      <rPr>
        <sz val="11"/>
        <color theme="1"/>
        <rFont val="Symbol"/>
        <family val="1"/>
        <charset val="2"/>
      </rPr>
      <t>-</t>
    </r>
    <r>
      <rPr>
        <i/>
        <sz val="11"/>
        <color theme="1"/>
        <rFont val="Times New Roman"/>
        <family val="1"/>
      </rPr>
      <t>W</t>
    </r>
    <r>
      <rPr>
        <i/>
        <vertAlign val="subscript"/>
        <sz val="11"/>
        <color theme="1"/>
        <rFont val="Times New Roman"/>
        <family val="1"/>
      </rPr>
      <t>h</t>
    </r>
    <r>
      <rPr>
        <sz val="11"/>
        <color theme="1"/>
        <rFont val="Times New Roman"/>
        <family val="1"/>
      </rPr>
      <t xml:space="preserve">, </t>
    </r>
    <r>
      <rPr>
        <i/>
        <sz val="11"/>
        <color theme="1"/>
        <rFont val="Times New Roman"/>
        <family val="1"/>
      </rPr>
      <t>Q</t>
    </r>
    <r>
      <rPr>
        <i/>
        <vertAlign val="subscript"/>
        <sz val="11"/>
        <color theme="1"/>
        <rFont val="Times New Roman"/>
        <family val="1"/>
      </rPr>
      <t>c</t>
    </r>
    <r>
      <rPr>
        <sz val="11"/>
        <color theme="1"/>
        <rFont val="Times New Roman"/>
        <family val="1"/>
      </rPr>
      <t>+</t>
    </r>
    <r>
      <rPr>
        <i/>
        <sz val="11"/>
        <color theme="1"/>
        <rFont val="Times New Roman"/>
        <family val="1"/>
      </rPr>
      <t>W</t>
    </r>
    <r>
      <rPr>
        <i/>
        <vertAlign val="subscript"/>
        <sz val="11"/>
        <color theme="1"/>
        <rFont val="Times New Roman"/>
        <family val="1"/>
      </rPr>
      <t>c</t>
    </r>
    <rPh sb="5" eb="7">
      <t>サイダイ</t>
    </rPh>
    <rPh sb="7" eb="8">
      <t>ネツ</t>
    </rPh>
    <rPh sb="8" eb="11">
      <t>コウカンリョウ</t>
    </rPh>
    <phoneticPr fontId="1"/>
  </si>
  <si>
    <r>
      <rPr>
        <sz val="11"/>
        <color theme="1"/>
        <rFont val="ＭＳ Ｐ明朝"/>
        <family val="1"/>
        <charset val="128"/>
      </rPr>
      <t>※揚水ポンプの定格消費電力、定格流量を入力する。有効桁数</t>
    </r>
    <r>
      <rPr>
        <sz val="11"/>
        <color theme="1"/>
        <rFont val="Times New Roman"/>
        <family val="1"/>
      </rPr>
      <t>4</t>
    </r>
    <r>
      <rPr>
        <sz val="11"/>
        <color theme="1"/>
        <rFont val="ＭＳ Ｐ明朝"/>
        <family val="1"/>
        <charset val="128"/>
      </rPr>
      <t>桁で</t>
    </r>
    <r>
      <rPr>
        <sz val="11"/>
        <color theme="1"/>
        <rFont val="ＭＳ Ｐ明朝"/>
        <family val="1"/>
        <charset val="128"/>
      </rPr>
      <t>四捨五入して入力する。</t>
    </r>
    <rPh sb="1" eb="3">
      <t>ヨウスイ</t>
    </rPh>
    <rPh sb="9" eb="11">
      <t>ショウヒ</t>
    </rPh>
    <rPh sb="11" eb="13">
      <t>デンリョク</t>
    </rPh>
    <rPh sb="14" eb="16">
      <t>テイカク</t>
    </rPh>
    <rPh sb="16" eb="18">
      <t>リュウリョウ</t>
    </rPh>
    <rPh sb="24" eb="26">
      <t>ユウコウ</t>
    </rPh>
    <rPh sb="26" eb="28">
      <t>ケタスウ</t>
    </rPh>
    <rPh sb="29" eb="30">
      <t>ケタ</t>
    </rPh>
    <phoneticPr fontId="1"/>
  </si>
  <si>
    <r>
      <rPr>
        <sz val="11"/>
        <color theme="1"/>
        <rFont val="ＭＳ Ｐ明朝"/>
        <family val="1"/>
        <charset val="128"/>
      </rPr>
      <t>※熱源水ポンプ</t>
    </r>
    <r>
      <rPr>
        <sz val="11"/>
        <color theme="1"/>
        <rFont val="Times New Roman"/>
        <family val="1"/>
      </rPr>
      <t>1</t>
    </r>
    <r>
      <rPr>
        <sz val="11"/>
        <color theme="1"/>
        <rFont val="ＭＳ Ｐ明朝"/>
        <family val="1"/>
        <charset val="128"/>
      </rPr>
      <t>の定格消費電力、定格流量を入力する。有効桁数</t>
    </r>
    <r>
      <rPr>
        <sz val="11"/>
        <color theme="1"/>
        <rFont val="Times New Roman"/>
        <family val="1"/>
      </rPr>
      <t>4</t>
    </r>
    <r>
      <rPr>
        <sz val="11"/>
        <color theme="1"/>
        <rFont val="ＭＳ Ｐ明朝"/>
        <family val="1"/>
        <charset val="128"/>
      </rPr>
      <t>桁で四捨五入して入力する。</t>
    </r>
    <rPh sb="1" eb="3">
      <t>ネツゲン</t>
    </rPh>
    <rPh sb="3" eb="4">
      <t>スイ</t>
    </rPh>
    <rPh sb="11" eb="13">
      <t>ショウヒ</t>
    </rPh>
    <rPh sb="13" eb="15">
      <t>デンリョク</t>
    </rPh>
    <rPh sb="16" eb="18">
      <t>テイカク</t>
    </rPh>
    <rPh sb="18" eb="20">
      <t>リュウリョウ</t>
    </rPh>
    <phoneticPr fontId="1"/>
  </si>
  <si>
    <r>
      <rPr>
        <sz val="11"/>
        <color theme="1"/>
        <rFont val="ＭＳ Ｐ明朝"/>
        <family val="1"/>
        <charset val="128"/>
      </rPr>
      <t>※熱源水ポンプ</t>
    </r>
    <r>
      <rPr>
        <sz val="11"/>
        <color theme="1"/>
        <rFont val="Times New Roman"/>
        <family val="1"/>
      </rPr>
      <t>2</t>
    </r>
    <r>
      <rPr>
        <sz val="11"/>
        <color theme="1"/>
        <rFont val="ＭＳ Ｐ明朝"/>
        <family val="1"/>
        <charset val="128"/>
      </rPr>
      <t>の定格消費電力を入力する。有効桁数</t>
    </r>
    <r>
      <rPr>
        <sz val="11"/>
        <color theme="1"/>
        <rFont val="Times New Roman"/>
        <family val="1"/>
      </rPr>
      <t>4</t>
    </r>
    <r>
      <rPr>
        <sz val="11"/>
        <color theme="1"/>
        <rFont val="ＭＳ Ｐ明朝"/>
        <family val="1"/>
        <charset val="128"/>
      </rPr>
      <t>桁で四捨五入して入力する。</t>
    </r>
    <phoneticPr fontId="1"/>
  </si>
  <si>
    <r>
      <rPr>
        <sz val="11"/>
        <color theme="1"/>
        <rFont val="Times New Roman"/>
        <family val="1"/>
      </rPr>
      <t xml:space="preserve">a-4) </t>
    </r>
    <r>
      <rPr>
        <sz val="11"/>
        <color theme="1"/>
        <rFont val="ＭＳ Ｐ明朝"/>
        <family val="1"/>
        <charset val="128"/>
      </rPr>
      <t>必要熱源水量</t>
    </r>
    <r>
      <rPr>
        <sz val="11"/>
        <color theme="1"/>
        <rFont val="Times New Roman"/>
        <family val="1"/>
      </rPr>
      <t xml:space="preserve"> </t>
    </r>
    <r>
      <rPr>
        <i/>
        <sz val="11"/>
        <color theme="1"/>
        <rFont val="Times New Roman"/>
        <family val="1"/>
      </rPr>
      <t>V</t>
    </r>
    <r>
      <rPr>
        <i/>
        <vertAlign val="subscript"/>
        <sz val="11"/>
        <color theme="1"/>
        <rFont val="Times New Roman"/>
        <family val="1"/>
      </rPr>
      <t>MAX</t>
    </r>
    <rPh sb="5" eb="7">
      <t>ヒツヨウ</t>
    </rPh>
    <rPh sb="7" eb="9">
      <t>ネツゲン</t>
    </rPh>
    <rPh sb="9" eb="11">
      <t>スイリョウ</t>
    </rPh>
    <phoneticPr fontId="1"/>
  </si>
  <si>
    <r>
      <rPr>
        <sz val="11"/>
        <color theme="1"/>
        <rFont val="Times New Roman"/>
        <family val="1"/>
      </rPr>
      <t xml:space="preserve">a-3) </t>
    </r>
    <r>
      <rPr>
        <sz val="11"/>
        <color theme="1"/>
        <rFont val="ＭＳ Ｐ明朝"/>
        <family val="1"/>
        <charset val="128"/>
      </rPr>
      <t xml:space="preserve">必要熱源水量(冷暖別) </t>
    </r>
    <r>
      <rPr>
        <i/>
        <sz val="11"/>
        <color theme="1"/>
        <rFont val="Times New Roman"/>
        <family val="1"/>
      </rPr>
      <t>V</t>
    </r>
    <r>
      <rPr>
        <i/>
        <vertAlign val="subscript"/>
        <sz val="11"/>
        <color theme="1"/>
        <rFont val="Times New Roman"/>
        <family val="1"/>
      </rPr>
      <t>h</t>
    </r>
    <r>
      <rPr>
        <sz val="11"/>
        <color theme="1"/>
        <rFont val="Times New Roman"/>
        <family val="1"/>
      </rPr>
      <t xml:space="preserve">, </t>
    </r>
    <r>
      <rPr>
        <i/>
        <sz val="11"/>
        <color theme="1"/>
        <rFont val="Times New Roman"/>
        <family val="1"/>
      </rPr>
      <t>V</t>
    </r>
    <r>
      <rPr>
        <i/>
        <vertAlign val="subscript"/>
        <sz val="11"/>
        <color theme="1"/>
        <rFont val="Times New Roman"/>
        <family val="1"/>
      </rPr>
      <t>c</t>
    </r>
    <rPh sb="5" eb="7">
      <t>ヒツヨウ</t>
    </rPh>
    <rPh sb="7" eb="9">
      <t>ネツゲン</t>
    </rPh>
    <rPh sb="9" eb="11">
      <t>スイリョウ</t>
    </rPh>
    <rPh sb="12" eb="14">
      <t>レイダン</t>
    </rPh>
    <rPh sb="14" eb="15">
      <t>ベツ</t>
    </rPh>
    <phoneticPr fontId="1"/>
  </si>
  <si>
    <t>※設計したオープンループ型地中熱ヒートポンプシステムについて、各項目の二重線で囲まれた入力欄に入力する。</t>
  </si>
  <si>
    <r>
      <rPr>
        <sz val="11"/>
        <color theme="1"/>
        <rFont val="ＭＳ Ｐ明朝"/>
        <family val="1"/>
        <charset val="128"/>
      </rPr>
      <t>【タイプ</t>
    </r>
    <r>
      <rPr>
        <sz val="11"/>
        <color theme="1"/>
        <rFont val="Times New Roman"/>
        <family val="1"/>
      </rPr>
      <t>D, E, F</t>
    </r>
    <r>
      <rPr>
        <sz val="11"/>
        <color theme="1"/>
        <rFont val="ＭＳ Ｐ明朝"/>
        <family val="1"/>
        <charset val="128"/>
      </rPr>
      <t>】熱交換器の対数平均温度差が規定の範囲に収まっているか</t>
    </r>
    <rPh sb="12" eb="13">
      <t>ネツ</t>
    </rPh>
    <rPh sb="13" eb="15">
      <t>コウカン</t>
    </rPh>
    <rPh sb="15" eb="16">
      <t>キ</t>
    </rPh>
    <rPh sb="17" eb="19">
      <t>タイスウ</t>
    </rPh>
    <rPh sb="19" eb="21">
      <t>ヘイキン</t>
    </rPh>
    <rPh sb="21" eb="24">
      <t>オンドサ</t>
    </rPh>
    <rPh sb="25" eb="27">
      <t>キテイ</t>
    </rPh>
    <rPh sb="28" eb="30">
      <t>ハンイ</t>
    </rPh>
    <rPh sb="31" eb="32">
      <t>オサ</t>
    </rPh>
    <phoneticPr fontId="1"/>
  </si>
  <si>
    <r>
      <t xml:space="preserve">b-1) </t>
    </r>
    <r>
      <rPr>
        <sz val="11"/>
        <color theme="1"/>
        <rFont val="ＭＳ Ｐ明朝"/>
        <family val="1"/>
        <charset val="128"/>
      </rPr>
      <t>暖冷房時井水槽減水量</t>
    </r>
    <r>
      <rPr>
        <sz val="11"/>
        <color theme="1"/>
        <rFont val="Times New Roman"/>
        <family val="1"/>
      </rPr>
      <t xml:space="preserve"> </t>
    </r>
    <r>
      <rPr>
        <i/>
        <sz val="11"/>
        <color theme="1"/>
        <rFont val="Times New Roman"/>
        <family val="1"/>
      </rPr>
      <t>V</t>
    </r>
    <r>
      <rPr>
        <i/>
        <vertAlign val="subscript"/>
        <sz val="11"/>
        <color theme="1"/>
        <rFont val="Times New Roman"/>
        <family val="1"/>
      </rPr>
      <t>r</t>
    </r>
    <r>
      <rPr>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V</t>
    </r>
    <r>
      <rPr>
        <i/>
        <vertAlign val="subscript"/>
        <sz val="11"/>
        <color theme="1"/>
        <rFont val="Times New Roman"/>
        <family val="1"/>
      </rPr>
      <t>r</t>
    </r>
    <r>
      <rPr>
        <sz val="11"/>
        <color theme="1"/>
        <rFont val="Times New Roman"/>
        <family val="1"/>
      </rPr>
      <t>,</t>
    </r>
    <r>
      <rPr>
        <i/>
        <vertAlign val="subscript"/>
        <sz val="11"/>
        <color theme="1"/>
        <rFont val="Times New Roman"/>
        <family val="1"/>
      </rPr>
      <t>c</t>
    </r>
    <phoneticPr fontId="1"/>
  </si>
  <si>
    <r>
      <rPr>
        <sz val="11"/>
        <color theme="1"/>
        <rFont val="Times New Roman"/>
        <family val="1"/>
      </rPr>
      <t xml:space="preserve">b-2) </t>
    </r>
    <r>
      <rPr>
        <sz val="11"/>
        <color theme="1"/>
        <rFont val="ＭＳ Ｐ明朝"/>
        <family val="1"/>
        <charset val="128"/>
      </rPr>
      <t>暖冷房時必要井水槽容量</t>
    </r>
    <r>
      <rPr>
        <sz val="11"/>
        <color theme="1"/>
        <rFont val="Times New Roman"/>
        <family val="1"/>
      </rPr>
      <t xml:space="preserve"> </t>
    </r>
    <r>
      <rPr>
        <i/>
        <sz val="11"/>
        <color theme="1"/>
        <rFont val="Times New Roman"/>
        <family val="1"/>
      </rPr>
      <t>M</t>
    </r>
    <r>
      <rPr>
        <i/>
        <vertAlign val="subscript"/>
        <sz val="11"/>
        <color theme="1"/>
        <rFont val="Times New Roman"/>
        <family val="1"/>
      </rPr>
      <t>wt</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M</t>
    </r>
    <r>
      <rPr>
        <i/>
        <vertAlign val="subscript"/>
        <sz val="11"/>
        <color theme="1"/>
        <rFont val="Times New Roman"/>
        <family val="1"/>
      </rPr>
      <t>wt</t>
    </r>
    <r>
      <rPr>
        <vertAlign val="subscript"/>
        <sz val="11"/>
        <color theme="1"/>
        <rFont val="Times New Roman"/>
        <family val="1"/>
      </rPr>
      <t>,</t>
    </r>
    <r>
      <rPr>
        <i/>
        <vertAlign val="subscript"/>
        <sz val="11"/>
        <color theme="1"/>
        <rFont val="Times New Roman"/>
        <family val="1"/>
      </rPr>
      <t>c</t>
    </r>
    <rPh sb="5" eb="8">
      <t>ダンレイボウ</t>
    </rPh>
    <rPh sb="8" eb="9">
      <t>ジ</t>
    </rPh>
    <rPh sb="9" eb="11">
      <t>ヒツヨウ</t>
    </rPh>
    <rPh sb="11" eb="13">
      <t>イスイ</t>
    </rPh>
    <rPh sb="13" eb="16">
      <t>ソウヨウリョウ</t>
    </rPh>
    <phoneticPr fontId="1"/>
  </si>
  <si>
    <r>
      <rPr>
        <sz val="11"/>
        <color theme="1"/>
        <rFont val="Times New Roman"/>
        <family val="1"/>
      </rPr>
      <t xml:space="preserve">b-3) </t>
    </r>
    <r>
      <rPr>
        <sz val="11"/>
        <color theme="1"/>
        <rFont val="ＭＳ Ｐ明朝"/>
        <family val="1"/>
        <charset val="128"/>
      </rPr>
      <t>負荷時間外井水槽供給量</t>
    </r>
    <r>
      <rPr>
        <sz val="11"/>
        <color theme="1"/>
        <rFont val="Times New Roman"/>
        <family val="1"/>
      </rPr>
      <t xml:space="preserve"> </t>
    </r>
    <r>
      <rPr>
        <i/>
        <sz val="11"/>
        <color theme="1"/>
        <rFont val="Times New Roman"/>
        <family val="1"/>
      </rPr>
      <t>M</t>
    </r>
    <r>
      <rPr>
        <i/>
        <vertAlign val="subscript"/>
        <sz val="11"/>
        <color theme="1"/>
        <rFont val="Times New Roman"/>
        <family val="1"/>
      </rPr>
      <t>s</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M</t>
    </r>
    <r>
      <rPr>
        <i/>
        <vertAlign val="subscript"/>
        <sz val="11"/>
        <color theme="1"/>
        <rFont val="Times New Roman"/>
        <family val="1"/>
      </rPr>
      <t>s</t>
    </r>
    <r>
      <rPr>
        <vertAlign val="subscript"/>
        <sz val="11"/>
        <color theme="1"/>
        <rFont val="Times New Roman"/>
        <family val="1"/>
      </rPr>
      <t>,</t>
    </r>
    <r>
      <rPr>
        <i/>
        <vertAlign val="subscript"/>
        <sz val="11"/>
        <color theme="1"/>
        <rFont val="Times New Roman"/>
        <family val="1"/>
      </rPr>
      <t>c</t>
    </r>
    <phoneticPr fontId="1"/>
  </si>
  <si>
    <r>
      <t xml:space="preserve">e) </t>
    </r>
    <r>
      <rPr>
        <sz val="11"/>
        <color theme="1"/>
        <rFont val="ＭＳ Ｐ明朝"/>
        <family val="1"/>
        <charset val="128"/>
      </rPr>
      <t>揚水量と熱源水循環流量のバランスに関する計算</t>
    </r>
    <rPh sb="3" eb="6">
      <t>ヨウスイリョウ</t>
    </rPh>
    <rPh sb="7" eb="9">
      <t>ネツゲン</t>
    </rPh>
    <rPh sb="9" eb="10">
      <t>スイ</t>
    </rPh>
    <rPh sb="10" eb="12">
      <t>ジュンカン</t>
    </rPh>
    <rPh sb="12" eb="14">
      <t>リュウリョウ</t>
    </rPh>
    <rPh sb="20" eb="21">
      <t>カン</t>
    </rPh>
    <rPh sb="23" eb="25">
      <t>ケイサン</t>
    </rPh>
    <phoneticPr fontId="1"/>
  </si>
  <si>
    <t>暖房時</t>
  </si>
  <si>
    <t>冷房時</t>
  </si>
  <si>
    <r>
      <rPr>
        <sz val="11"/>
        <color theme="1"/>
        <rFont val="ＭＳ Ｐ明朝"/>
        <family val="1"/>
        <charset val="128"/>
      </rPr>
      <t>※タイプ</t>
    </r>
    <r>
      <rPr>
        <sz val="11"/>
        <color theme="1"/>
        <rFont val="Times New Roman"/>
        <family val="1"/>
        <charset val="128"/>
      </rPr>
      <t>B, E</t>
    </r>
    <r>
      <rPr>
        <sz val="11"/>
        <color theme="1"/>
        <rFont val="ＭＳ Ｐ明朝"/>
        <family val="1"/>
        <charset val="128"/>
      </rPr>
      <t>では、井水槽容量に関する計算を行う。</t>
    </r>
    <rPh sb="11" eb="13">
      <t>イスイ</t>
    </rPh>
    <rPh sb="13" eb="14">
      <t>ソウ</t>
    </rPh>
    <rPh sb="14" eb="16">
      <t>ヨウリョウ</t>
    </rPh>
    <rPh sb="17" eb="18">
      <t>カン</t>
    </rPh>
    <rPh sb="20" eb="22">
      <t>ケイサン</t>
    </rPh>
    <rPh sb="23" eb="24">
      <t>オコナ</t>
    </rPh>
    <phoneticPr fontId="1"/>
  </si>
  <si>
    <r>
      <t xml:space="preserve">c-1) </t>
    </r>
    <r>
      <rPr>
        <sz val="11"/>
        <color theme="1"/>
        <rFont val="ＭＳ Ｐ明朝"/>
        <family val="1"/>
        <charset val="128"/>
      </rPr>
      <t>流量比</t>
    </r>
    <r>
      <rPr>
        <sz val="11"/>
        <color theme="1"/>
        <rFont val="Times New Roman"/>
        <family val="1"/>
      </rPr>
      <t xml:space="preserve"> </t>
    </r>
    <r>
      <rPr>
        <i/>
        <sz val="11"/>
        <color theme="1"/>
        <rFont val="Times New Roman"/>
        <family val="1"/>
      </rPr>
      <t>n</t>
    </r>
    <r>
      <rPr>
        <i/>
        <vertAlign val="subscript"/>
        <sz val="11"/>
        <color theme="1"/>
        <rFont val="Times New Roman"/>
        <family val="1"/>
      </rPr>
      <t>h</t>
    </r>
    <r>
      <rPr>
        <sz val="11"/>
        <color theme="1"/>
        <rFont val="Times New Roman"/>
        <family val="1"/>
      </rPr>
      <t xml:space="preserve">, </t>
    </r>
    <r>
      <rPr>
        <i/>
        <sz val="11"/>
        <color theme="1"/>
        <rFont val="Times New Roman"/>
        <family val="1"/>
      </rPr>
      <t>n</t>
    </r>
    <r>
      <rPr>
        <i/>
        <vertAlign val="subscript"/>
        <sz val="11"/>
        <color theme="1"/>
        <rFont val="Times New Roman"/>
        <family val="1"/>
      </rPr>
      <t>c</t>
    </r>
    <rPh sb="5" eb="8">
      <t>リュウリョウヒ</t>
    </rPh>
    <phoneticPr fontId="1"/>
  </si>
  <si>
    <r>
      <rPr>
        <sz val="11"/>
        <color theme="1"/>
        <rFont val="Times New Roman"/>
        <family val="1"/>
      </rPr>
      <t xml:space="preserve">d-1) </t>
    </r>
    <r>
      <rPr>
        <sz val="11"/>
        <color theme="1"/>
        <rFont val="ＭＳ Ｐ明朝"/>
        <family val="1"/>
        <charset val="128"/>
      </rPr>
      <t>井水槽断熱材の熱伝導抵抗</t>
    </r>
    <r>
      <rPr>
        <i/>
        <sz val="11"/>
        <color theme="1"/>
        <rFont val="Times New Roman"/>
        <family val="1"/>
      </rPr>
      <t xml:space="preserve"> R</t>
    </r>
    <r>
      <rPr>
        <i/>
        <vertAlign val="subscript"/>
        <sz val="11"/>
        <color theme="1"/>
        <rFont val="Times New Roman"/>
        <family val="1"/>
      </rPr>
      <t>ins</t>
    </r>
    <phoneticPr fontId="1"/>
  </si>
  <si>
    <r>
      <rPr>
        <sz val="11"/>
        <color theme="1"/>
        <rFont val="ＭＳ Ｐ明朝"/>
        <family val="1"/>
        <charset val="128"/>
      </rPr>
      <t>※タイプ</t>
    </r>
    <r>
      <rPr>
        <sz val="11"/>
        <color theme="1"/>
        <rFont val="Times New Roman"/>
        <family val="1"/>
      </rPr>
      <t>D, E, F</t>
    </r>
    <r>
      <rPr>
        <sz val="11"/>
        <color theme="1"/>
        <rFont val="ＭＳ Ｐ明朝"/>
        <family val="1"/>
        <charset val="128"/>
      </rPr>
      <t>では、熱交換器の熱交換能力に関して計算する。</t>
    </r>
    <rPh sb="14" eb="15">
      <t>ネツ</t>
    </rPh>
    <rPh sb="15" eb="18">
      <t>コウカンキ</t>
    </rPh>
    <rPh sb="19" eb="20">
      <t>ネツ</t>
    </rPh>
    <rPh sb="20" eb="22">
      <t>コウカン</t>
    </rPh>
    <rPh sb="22" eb="24">
      <t>ノウリョク</t>
    </rPh>
    <rPh sb="25" eb="26">
      <t>カン</t>
    </rPh>
    <rPh sb="28" eb="30">
      <t>ケイサン</t>
    </rPh>
    <phoneticPr fontId="1"/>
  </si>
  <si>
    <r>
      <rPr>
        <sz val="11"/>
        <color theme="1"/>
        <rFont val="Times New Roman"/>
        <family val="1"/>
      </rPr>
      <t xml:space="preserve">e-1) </t>
    </r>
    <r>
      <rPr>
        <sz val="11"/>
        <color theme="1"/>
        <rFont val="ＭＳ Ｐ明朝"/>
        <family val="1"/>
        <charset val="128"/>
      </rPr>
      <t>対数平均温度差</t>
    </r>
    <r>
      <rPr>
        <sz val="11"/>
        <color theme="1"/>
        <rFont val="Times New Roman"/>
        <family val="1"/>
      </rPr>
      <t xml:space="preserve"> Δ</t>
    </r>
    <r>
      <rPr>
        <i/>
        <sz val="11"/>
        <color theme="1"/>
        <rFont val="Times New Roman"/>
        <family val="1"/>
      </rPr>
      <t>T</t>
    </r>
    <r>
      <rPr>
        <i/>
        <vertAlign val="subscript"/>
        <sz val="11"/>
        <color theme="1"/>
        <rFont val="Times New Roman"/>
        <family val="1"/>
      </rPr>
      <t>m</t>
    </r>
    <r>
      <rPr>
        <vertAlign val="subscript"/>
        <sz val="11"/>
        <color theme="1"/>
        <rFont val="Times New Roman"/>
        <family val="1"/>
      </rPr>
      <t>,</t>
    </r>
    <r>
      <rPr>
        <i/>
        <vertAlign val="subscript"/>
        <sz val="11"/>
        <color theme="1"/>
        <rFont val="Times New Roman"/>
        <family val="1"/>
      </rPr>
      <t>h</t>
    </r>
    <r>
      <rPr>
        <sz val="11"/>
        <color theme="1"/>
        <rFont val="Times New Roman"/>
        <family val="1"/>
      </rPr>
      <t>, Δ</t>
    </r>
    <r>
      <rPr>
        <i/>
        <sz val="11"/>
        <color theme="1"/>
        <rFont val="Times New Roman"/>
        <family val="1"/>
      </rPr>
      <t>T</t>
    </r>
    <r>
      <rPr>
        <i/>
        <vertAlign val="subscript"/>
        <sz val="11"/>
        <color theme="1"/>
        <rFont val="Times New Roman"/>
        <family val="1"/>
      </rPr>
      <t>m</t>
    </r>
    <r>
      <rPr>
        <vertAlign val="subscript"/>
        <sz val="11"/>
        <color theme="1"/>
        <rFont val="Times New Roman"/>
        <family val="1"/>
      </rPr>
      <t>,</t>
    </r>
    <r>
      <rPr>
        <i/>
        <vertAlign val="subscript"/>
        <sz val="11"/>
        <color theme="1"/>
        <rFont val="Times New Roman"/>
        <family val="1"/>
      </rPr>
      <t>c</t>
    </r>
    <phoneticPr fontId="1"/>
  </si>
  <si>
    <r>
      <t xml:space="preserve">e) </t>
    </r>
    <r>
      <rPr>
        <sz val="11"/>
        <color theme="1"/>
        <rFont val="ＭＳ Ｐ明朝"/>
        <family val="1"/>
        <charset val="128"/>
      </rPr>
      <t>熱交換器に関する計算</t>
    </r>
    <rPh sb="3" eb="4">
      <t>ネツ</t>
    </rPh>
    <rPh sb="4" eb="7">
      <t>コウカンキ</t>
    </rPh>
    <rPh sb="8" eb="9">
      <t>カン</t>
    </rPh>
    <rPh sb="11" eb="13">
      <t>ケイサン</t>
    </rPh>
    <phoneticPr fontId="1"/>
  </si>
  <si>
    <r>
      <rPr>
        <sz val="10.5"/>
        <color theme="1"/>
        <rFont val="ＭＳ Ｐ明朝"/>
        <family val="1"/>
        <charset val="128"/>
      </rPr>
      <t>※タイプ</t>
    </r>
    <r>
      <rPr>
        <sz val="10.5"/>
        <color theme="1"/>
        <rFont val="Times New Roman"/>
        <family val="1"/>
      </rPr>
      <t>C, F</t>
    </r>
    <r>
      <rPr>
        <sz val="10.5"/>
        <color theme="1"/>
        <rFont val="ＭＳ Ｐ明朝"/>
        <family val="1"/>
        <charset val="128"/>
      </rPr>
      <t>では、揚水量と熱源水循環流量のバランスに関する計算を行う。</t>
    </r>
    <rPh sb="11" eb="14">
      <t>ヨウスイリョウ</t>
    </rPh>
    <rPh sb="15" eb="17">
      <t>ネツゲン</t>
    </rPh>
    <rPh sb="17" eb="18">
      <t>スイ</t>
    </rPh>
    <rPh sb="18" eb="20">
      <t>ジュンカン</t>
    </rPh>
    <rPh sb="20" eb="22">
      <t>リュウリョウ</t>
    </rPh>
    <phoneticPr fontId="1"/>
  </si>
  <si>
    <r>
      <t>1</t>
    </r>
    <r>
      <rPr>
        <sz val="14"/>
        <color theme="1"/>
        <rFont val="ＭＳ Ｐ明朝"/>
        <family val="1"/>
        <charset val="128"/>
      </rPr>
      <t>ページ</t>
    </r>
    <r>
      <rPr>
        <sz val="14"/>
        <color theme="1"/>
        <rFont val="Times New Roman"/>
        <family val="1"/>
      </rPr>
      <t xml:space="preserve"> / </t>
    </r>
    <r>
      <rPr>
        <sz val="14"/>
        <color theme="1"/>
        <rFont val="ＭＳ Ｐ明朝"/>
        <family val="1"/>
        <charset val="128"/>
      </rPr>
      <t>全</t>
    </r>
    <r>
      <rPr>
        <sz val="14"/>
        <color theme="1"/>
        <rFont val="Times New Roman"/>
        <family val="1"/>
      </rPr>
      <t>2</t>
    </r>
    <r>
      <rPr>
        <sz val="14"/>
        <color theme="1"/>
        <rFont val="ＭＳ Ｐ明朝"/>
        <family val="1"/>
        <charset val="128"/>
      </rPr>
      <t>ページ</t>
    </r>
    <rPh sb="7" eb="8">
      <t>ゼン</t>
    </rPh>
    <phoneticPr fontId="1"/>
  </si>
  <si>
    <r>
      <t>2</t>
    </r>
    <r>
      <rPr>
        <sz val="14"/>
        <color theme="1"/>
        <rFont val="ＭＳ Ｐ明朝"/>
        <family val="1"/>
        <charset val="128"/>
      </rPr>
      <t>ページ</t>
    </r>
    <r>
      <rPr>
        <sz val="14"/>
        <color theme="1"/>
        <rFont val="Times New Roman"/>
        <family val="1"/>
      </rPr>
      <t xml:space="preserve"> / </t>
    </r>
    <r>
      <rPr>
        <sz val="14"/>
        <color theme="1"/>
        <rFont val="ＭＳ Ｐ明朝"/>
        <family val="1"/>
        <charset val="128"/>
      </rPr>
      <t>全</t>
    </r>
    <r>
      <rPr>
        <sz val="14"/>
        <color theme="1"/>
        <rFont val="Times New Roman"/>
        <family val="1"/>
      </rPr>
      <t>2</t>
    </r>
    <r>
      <rPr>
        <sz val="14"/>
        <color theme="1"/>
        <rFont val="ＭＳ Ｐ明朝"/>
        <family val="1"/>
        <charset val="128"/>
      </rPr>
      <t>ページ</t>
    </r>
    <rPh sb="7" eb="8">
      <t>ゼン</t>
    </rPh>
    <phoneticPr fontId="1"/>
  </si>
  <si>
    <r>
      <t>※以下に付属書</t>
    </r>
    <r>
      <rPr>
        <sz val="11"/>
        <color theme="1"/>
        <rFont val="Times New Roman"/>
        <family val="1"/>
      </rPr>
      <t>H</t>
    </r>
    <r>
      <rPr>
        <sz val="11"/>
        <color theme="1"/>
        <rFont val="ＭＳ Ｐ明朝"/>
        <family val="1"/>
        <charset val="128"/>
      </rPr>
      <t>における設計の妥当性を確認するための計算の過程が示される。</t>
    </r>
    <rPh sb="1" eb="3">
      <t>イカ</t>
    </rPh>
    <phoneticPr fontId="1"/>
  </si>
  <si>
    <t>確認の結果</t>
    <rPh sb="0" eb="2">
      <t>カクニン</t>
    </rPh>
    <rPh sb="3" eb="5">
      <t>ケッカ</t>
    </rPh>
    <phoneticPr fontId="1"/>
  </si>
  <si>
    <t>　計算式等 (注：記号の下付等が反映されない場合があります)</t>
    <rPh sb="1" eb="4">
      <t>ケイサンシキ</t>
    </rPh>
    <rPh sb="4" eb="5">
      <t>ナド</t>
    </rPh>
    <phoneticPr fontId="1"/>
  </si>
  <si>
    <r>
      <t>1</t>
    </r>
    <r>
      <rPr>
        <sz val="14"/>
        <color theme="1"/>
        <rFont val="ＭＳ Ｐ明朝"/>
        <family val="1"/>
        <charset val="128"/>
      </rPr>
      <t>ページ</t>
    </r>
    <r>
      <rPr>
        <sz val="14"/>
        <color theme="1"/>
        <rFont val="Times New Roman"/>
        <family val="1"/>
      </rPr>
      <t xml:space="preserve"> / </t>
    </r>
    <r>
      <rPr>
        <sz val="14"/>
        <color theme="1"/>
        <rFont val="ＭＳ Ｐ明朝"/>
        <family val="1"/>
        <charset val="128"/>
      </rPr>
      <t>全</t>
    </r>
    <r>
      <rPr>
        <sz val="14"/>
        <color theme="1"/>
        <rFont val="Times New Roman"/>
        <family val="1"/>
      </rPr>
      <t>1</t>
    </r>
    <r>
      <rPr>
        <sz val="14"/>
        <color theme="1"/>
        <rFont val="ＭＳ Ｐ明朝"/>
        <family val="1"/>
        <charset val="128"/>
      </rPr>
      <t>ページ</t>
    </r>
    <rPh sb="7" eb="8">
      <t>ゼン</t>
    </rPh>
    <phoneticPr fontId="1"/>
  </si>
  <si>
    <r>
      <rPr>
        <sz val="11"/>
        <color theme="1"/>
        <rFont val="Times New Roman"/>
        <family val="1"/>
      </rPr>
      <t xml:space="preserve">3-4) </t>
    </r>
    <r>
      <rPr>
        <sz val="11"/>
        <color theme="1"/>
        <rFont val="ＭＳ Ｐ明朝"/>
        <family val="1"/>
        <charset val="128"/>
      </rPr>
      <t>ヒートポンプ熱源水出口温度</t>
    </r>
    <r>
      <rPr>
        <sz val="11"/>
        <color theme="1"/>
        <rFont val="Times New Roman"/>
        <family val="1"/>
      </rPr>
      <t xml:space="preserve"> </t>
    </r>
    <r>
      <rPr>
        <i/>
        <sz val="11"/>
        <color theme="1"/>
        <rFont val="Times New Roman"/>
        <family val="1"/>
      </rPr>
      <t>T</t>
    </r>
    <r>
      <rPr>
        <i/>
        <vertAlign val="subscript"/>
        <sz val="11"/>
        <color theme="1"/>
        <rFont val="Times New Roman"/>
        <family val="1"/>
      </rPr>
      <t>o</t>
    </r>
    <r>
      <rPr>
        <vertAlign val="subscript"/>
        <sz val="11"/>
        <color theme="1"/>
        <rFont val="Times New Roman"/>
        <family val="1"/>
      </rPr>
      <t>,</t>
    </r>
    <r>
      <rPr>
        <i/>
        <vertAlign val="subscript"/>
        <sz val="11"/>
        <color theme="1"/>
        <rFont val="Times New Roman"/>
        <family val="1"/>
      </rPr>
      <t>h</t>
    </r>
    <r>
      <rPr>
        <sz val="11"/>
        <color theme="1"/>
        <rFont val="Times New Roman"/>
        <family val="1"/>
      </rPr>
      <t xml:space="preserve">, </t>
    </r>
    <r>
      <rPr>
        <i/>
        <sz val="11"/>
        <color theme="1"/>
        <rFont val="Times New Roman"/>
        <family val="1"/>
      </rPr>
      <t>T</t>
    </r>
    <r>
      <rPr>
        <i/>
        <vertAlign val="subscript"/>
        <sz val="11"/>
        <color theme="1"/>
        <rFont val="Times New Roman"/>
        <family val="1"/>
      </rPr>
      <t>o</t>
    </r>
    <r>
      <rPr>
        <vertAlign val="subscript"/>
        <sz val="11"/>
        <color theme="1"/>
        <rFont val="Times New Roman"/>
        <family val="1"/>
      </rPr>
      <t>,</t>
    </r>
    <r>
      <rPr>
        <i/>
        <vertAlign val="subscript"/>
        <sz val="11"/>
        <color theme="1"/>
        <rFont val="Times New Roman"/>
        <family val="1"/>
      </rPr>
      <t>c</t>
    </r>
    <rPh sb="11" eb="13">
      <t>ネツゲン</t>
    </rPh>
    <rPh sb="13" eb="14">
      <t>スイ</t>
    </rPh>
    <rPh sb="14" eb="16">
      <t>デグチ</t>
    </rPh>
    <rPh sb="16" eb="18">
      <t>オンド</t>
    </rPh>
    <phoneticPr fontId="1"/>
  </si>
  <si>
    <r>
      <t xml:space="preserve">d) </t>
    </r>
    <r>
      <rPr>
        <sz val="11"/>
        <color theme="1"/>
        <rFont val="ＭＳ Ｐ明朝"/>
        <family val="1"/>
        <charset val="128"/>
      </rPr>
      <t>井水槽の断熱材に関する計算　　　　　　　　　　　　　　　※井水槽が外気に開放されている空間に設置されている場合は、井水槽断熱材の熱伝導抵抗について計算する。</t>
    </r>
    <rPh sb="3" eb="5">
      <t>イスイ</t>
    </rPh>
    <rPh sb="5" eb="6">
      <t>ソウ</t>
    </rPh>
    <rPh sb="7" eb="10">
      <t>ダンネツザイ</t>
    </rPh>
    <rPh sb="11" eb="12">
      <t>カン</t>
    </rPh>
    <rPh sb="14" eb="16">
      <t>ケイサン</t>
    </rPh>
    <phoneticPr fontId="1"/>
  </si>
  <si>
    <r>
      <rPr>
        <sz val="11"/>
        <color theme="1"/>
        <rFont val="ＭＳ Ｐ明朝"/>
        <family val="1"/>
        <charset val="128"/>
      </rPr>
      <t>※地中熱ヒートポンプの定格性能を入力する。入力値は水－空気ヒートポンプについては、「</t>
    </r>
    <r>
      <rPr>
        <sz val="11"/>
        <color theme="1"/>
        <rFont val="Times New Roman"/>
        <family val="1"/>
      </rPr>
      <t xml:space="preserve">JIS B 8616:2015 </t>
    </r>
    <r>
      <rPr>
        <sz val="11"/>
        <color theme="1"/>
        <rFont val="ＭＳ Ｐ明朝"/>
        <family val="1"/>
        <charset val="128"/>
      </rPr>
      <t>パッケージエアコンディショナ」の定格条件における値を、水－水ヒートポンプについては、「</t>
    </r>
    <r>
      <rPr>
        <sz val="11"/>
        <color theme="1"/>
        <rFont val="Times New Roman"/>
        <family val="1"/>
      </rPr>
      <t xml:space="preserve">JIS B 8613:1994 </t>
    </r>
    <r>
      <rPr>
        <sz val="11"/>
        <color theme="1"/>
        <rFont val="ＭＳ Ｐ明朝"/>
        <family val="1"/>
        <charset val="128"/>
      </rPr>
      <t>ウォーターチリングユニット」または「</t>
    </r>
    <r>
      <rPr>
        <sz val="11"/>
        <color theme="1"/>
        <rFont val="Times New Roman"/>
        <family val="1"/>
      </rPr>
      <t xml:space="preserve">JRA 4066:2014 </t>
    </r>
    <r>
      <rPr>
        <sz val="11"/>
        <color theme="1"/>
        <rFont val="ＭＳ Ｐ明朝"/>
        <family val="1"/>
        <charset val="128"/>
      </rPr>
      <t>ウォーターチリングユニット」の定格条件における値を入力する。小数点以下</t>
    </r>
    <r>
      <rPr>
        <sz val="11"/>
        <color theme="1"/>
        <rFont val="Times New Roman"/>
        <family val="1"/>
      </rPr>
      <t>2</t>
    </r>
    <r>
      <rPr>
        <sz val="11"/>
        <color theme="1"/>
        <rFont val="ＭＳ Ｐ明朝"/>
        <family val="1"/>
        <charset val="128"/>
      </rPr>
      <t>桁で四捨五入して入力する。</t>
    </r>
    <rPh sb="1" eb="3">
      <t>チチュウ</t>
    </rPh>
    <rPh sb="3" eb="4">
      <t>ネツ</t>
    </rPh>
    <rPh sb="11" eb="13">
      <t>テイカク</t>
    </rPh>
    <rPh sb="13" eb="15">
      <t>セイノウ</t>
    </rPh>
    <rPh sb="16" eb="18">
      <t>ニュウリョク</t>
    </rPh>
    <rPh sb="179" eb="182">
      <t>ショウスウテン</t>
    </rPh>
    <rPh sb="182" eb="184">
      <t>イカ</t>
    </rPh>
    <rPh sb="185" eb="186">
      <t>ケタ</t>
    </rPh>
    <rPh sb="187" eb="191">
      <t>シシャゴニュウ</t>
    </rPh>
    <rPh sb="193" eb="195">
      <t>ニュウリョク</t>
    </rPh>
    <phoneticPr fontId="1"/>
  </si>
  <si>
    <t>　妥当性を確認する計算式等 (注：記号の下付等が反映されない場合がある)</t>
    <rPh sb="1" eb="4">
      <t>ダトウセイ</t>
    </rPh>
    <rPh sb="5" eb="7">
      <t>カクニン</t>
    </rPh>
    <rPh sb="9" eb="12">
      <t>ケイサンシキ</t>
    </rPh>
    <rPh sb="12" eb="13">
      <t>トウ</t>
    </rPh>
    <phoneticPr fontId="1"/>
  </si>
  <si>
    <t>　計算式等 (注：記号の下付等が反映されない場合がある)</t>
    <rPh sb="1" eb="4">
      <t>ケイサンシキ</t>
    </rPh>
    <rPh sb="4" eb="5">
      <t>ナド</t>
    </rPh>
    <rPh sb="7" eb="8">
      <t>チュウ</t>
    </rPh>
    <rPh sb="9" eb="11">
      <t>キゴウ</t>
    </rPh>
    <rPh sb="12" eb="14">
      <t>シタツキ</t>
    </rPh>
    <rPh sb="14" eb="15">
      <t>トウ</t>
    </rPh>
    <rPh sb="16" eb="18">
      <t>ハンエイ</t>
    </rPh>
    <rPh sb="22" eb="24">
      <t>バアイ</t>
    </rPh>
    <phoneticPr fontId="1"/>
  </si>
  <si>
    <r>
      <rPr>
        <sz val="11"/>
        <color theme="0" tint="-0.249977111117893"/>
        <rFont val="Times New Roman"/>
        <family val="1"/>
      </rPr>
      <t xml:space="preserve">e-2) </t>
    </r>
    <r>
      <rPr>
        <sz val="11"/>
        <color theme="0" tint="-0.249977111117893"/>
        <rFont val="ＭＳ Ｐ明朝"/>
        <family val="1"/>
        <charset val="128"/>
      </rPr>
      <t>熱交換器熱コンダクタンス</t>
    </r>
    <r>
      <rPr>
        <sz val="11"/>
        <color theme="0" tint="-0.249977111117893"/>
        <rFont val="Times New Roman"/>
        <family val="1"/>
      </rPr>
      <t xml:space="preserve"> </t>
    </r>
    <r>
      <rPr>
        <i/>
        <sz val="11"/>
        <color theme="0" tint="-0.249977111117893"/>
        <rFont val="Times New Roman"/>
        <family val="1"/>
      </rPr>
      <t>U</t>
    </r>
    <r>
      <rPr>
        <i/>
        <vertAlign val="subscript"/>
        <sz val="11"/>
        <color theme="0" tint="-0.249977111117893"/>
        <rFont val="Times New Roman"/>
        <family val="1"/>
      </rPr>
      <t>h</t>
    </r>
    <r>
      <rPr>
        <sz val="11"/>
        <color theme="0" tint="-0.249977111117893"/>
        <rFont val="Times New Roman"/>
        <family val="1"/>
      </rPr>
      <t xml:space="preserve">, </t>
    </r>
    <r>
      <rPr>
        <i/>
        <sz val="11"/>
        <color theme="0" tint="-0.249977111117893"/>
        <rFont val="Times New Roman"/>
        <family val="1"/>
      </rPr>
      <t>U</t>
    </r>
    <r>
      <rPr>
        <i/>
        <vertAlign val="subscript"/>
        <sz val="11"/>
        <color theme="0" tint="-0.249977111117893"/>
        <rFont val="Times New Roman"/>
        <family val="1"/>
      </rPr>
      <t>c</t>
    </r>
    <phoneticPr fontId="1"/>
  </si>
  <si>
    <r>
      <t>[kW/</t>
    </r>
    <r>
      <rPr>
        <sz val="11"/>
        <color theme="0" tint="-0.249977111117893"/>
        <rFont val="ＭＳ Ｐ明朝"/>
        <family val="1"/>
        <charset val="128"/>
      </rPr>
      <t>℃</t>
    </r>
    <r>
      <rPr>
        <sz val="11"/>
        <color theme="0" tint="-0.249977111117893"/>
        <rFont val="Times New Roman"/>
        <family val="1"/>
      </rPr>
      <t>]</t>
    </r>
    <phoneticPr fontId="1"/>
  </si>
  <si>
    <r>
      <rPr>
        <sz val="11"/>
        <color theme="0" tint="-0.249977111117893"/>
        <rFont val="ＭＳ Ｐ明朝"/>
        <family val="1"/>
        <charset val="128"/>
      </rPr>
      <t>【タイプ</t>
    </r>
    <r>
      <rPr>
        <sz val="11"/>
        <color theme="0" tint="-0.249977111117893"/>
        <rFont val="Times New Roman"/>
        <family val="1"/>
      </rPr>
      <t>D, E, F</t>
    </r>
    <r>
      <rPr>
        <sz val="11"/>
        <color theme="0" tint="-0.249977111117893"/>
        <rFont val="ＭＳ Ｐ明朝"/>
        <family val="1"/>
        <charset val="128"/>
      </rPr>
      <t>】熱交換器の熱コンダクタンスについて、暖房時と冷房時の比率が規定の範囲に収まっているか</t>
    </r>
    <rPh sb="12" eb="16">
      <t>ネツコウカンキ</t>
    </rPh>
    <rPh sb="17" eb="18">
      <t>ネツ</t>
    </rPh>
    <rPh sb="30" eb="33">
      <t>ダンボウジ</t>
    </rPh>
    <rPh sb="34" eb="37">
      <t>レイボウジ</t>
    </rPh>
    <rPh sb="38" eb="40">
      <t>ヒリツ</t>
    </rPh>
    <rPh sb="41" eb="43">
      <t>キテイ</t>
    </rPh>
    <rPh sb="44" eb="46">
      <t>ハンイ</t>
    </rPh>
    <rPh sb="47" eb="48">
      <t>オサ</t>
    </rPh>
    <phoneticPr fontId="1"/>
  </si>
  <si>
    <r>
      <t xml:space="preserve">2) </t>
    </r>
    <r>
      <rPr>
        <sz val="11"/>
        <color theme="1"/>
        <rFont val="ＭＳ Ｐ明朝"/>
        <family val="1"/>
        <charset val="128"/>
      </rPr>
      <t>揚水ポンプに係る入力</t>
    </r>
    <rPh sb="3" eb="5">
      <t>ヨウスイ</t>
    </rPh>
    <rPh sb="9" eb="10">
      <t>カカ</t>
    </rPh>
    <rPh sb="11" eb="13">
      <t>ニュウリョク</t>
    </rPh>
    <phoneticPr fontId="1"/>
  </si>
  <si>
    <r>
      <rPr>
        <sz val="11"/>
        <color theme="1"/>
        <rFont val="Times New Roman"/>
        <family val="1"/>
      </rPr>
      <t xml:space="preserve">2-1) </t>
    </r>
    <r>
      <rPr>
        <sz val="11"/>
        <color theme="1"/>
        <rFont val="ＭＳ Ｐ明朝"/>
        <family val="1"/>
        <charset val="128"/>
      </rPr>
      <t>揚水ポンプの定格消費電力</t>
    </r>
    <r>
      <rPr>
        <i/>
        <sz val="11"/>
        <color theme="1"/>
        <rFont val="Times New Roman"/>
        <family val="1"/>
      </rPr>
      <t>W</t>
    </r>
    <r>
      <rPr>
        <vertAlign val="subscript"/>
        <sz val="11"/>
        <color theme="1"/>
        <rFont val="Times New Roman"/>
        <family val="1"/>
      </rPr>
      <t>0</t>
    </r>
    <rPh sb="5" eb="7">
      <t>ヨウスイ</t>
    </rPh>
    <rPh sb="11" eb="13">
      <t>テイカク</t>
    </rPh>
    <rPh sb="13" eb="15">
      <t>ショウヒ</t>
    </rPh>
    <rPh sb="15" eb="17">
      <t>デンリョク</t>
    </rPh>
    <phoneticPr fontId="1"/>
  </si>
  <si>
    <r>
      <rPr>
        <sz val="11"/>
        <color theme="1"/>
        <rFont val="Times New Roman"/>
        <family val="1"/>
      </rPr>
      <t xml:space="preserve">2-2) </t>
    </r>
    <r>
      <rPr>
        <sz val="11"/>
        <color theme="1"/>
        <rFont val="ＭＳ Ｐ明朝"/>
        <family val="1"/>
        <charset val="128"/>
      </rPr>
      <t>揚水ポンプの定格流量</t>
    </r>
    <r>
      <rPr>
        <i/>
        <sz val="11"/>
        <color theme="1"/>
        <rFont val="Times New Roman"/>
        <family val="1"/>
      </rPr>
      <t>V</t>
    </r>
    <r>
      <rPr>
        <vertAlign val="subscript"/>
        <sz val="11"/>
        <color theme="1"/>
        <rFont val="Times New Roman"/>
        <family val="1"/>
      </rPr>
      <t>0</t>
    </r>
    <rPh sb="5" eb="7">
      <t>ヨウスイ</t>
    </rPh>
    <rPh sb="11" eb="13">
      <t>テイカク</t>
    </rPh>
    <rPh sb="13" eb="15">
      <t>リュウリョウ</t>
    </rPh>
    <phoneticPr fontId="1"/>
  </si>
  <si>
    <r>
      <t xml:space="preserve">3) </t>
    </r>
    <r>
      <rPr>
        <sz val="11"/>
        <color theme="1"/>
        <rFont val="ＭＳ Ｐ明朝"/>
        <family val="1"/>
        <charset val="128"/>
      </rPr>
      <t>熱源水ポンプ</t>
    </r>
    <r>
      <rPr>
        <sz val="11"/>
        <color theme="1"/>
        <rFont val="Times New Roman"/>
        <family val="1"/>
      </rPr>
      <t>1</t>
    </r>
    <r>
      <rPr>
        <sz val="11"/>
        <color theme="1"/>
        <rFont val="ＭＳ Ｐ明朝"/>
        <family val="1"/>
        <charset val="128"/>
      </rPr>
      <t>に係る入力</t>
    </r>
    <rPh sb="3" eb="5">
      <t>ネツゲン</t>
    </rPh>
    <rPh sb="5" eb="6">
      <t>スイ</t>
    </rPh>
    <rPh sb="11" eb="12">
      <t>カカ</t>
    </rPh>
    <rPh sb="13" eb="15">
      <t>ニュウリョク</t>
    </rPh>
    <phoneticPr fontId="1"/>
  </si>
  <si>
    <r>
      <rPr>
        <sz val="11"/>
        <color theme="1"/>
        <rFont val="Times New Roman"/>
        <family val="1"/>
      </rPr>
      <t xml:space="preserve">3-1) </t>
    </r>
    <r>
      <rPr>
        <sz val="11"/>
        <color theme="1"/>
        <rFont val="ＭＳ Ｐ明朝"/>
        <family val="1"/>
        <charset val="128"/>
      </rPr>
      <t>熱源水ポンプ</t>
    </r>
    <r>
      <rPr>
        <sz val="11"/>
        <color theme="1"/>
        <rFont val="Times New Roman"/>
        <family val="1"/>
      </rPr>
      <t>1</t>
    </r>
    <r>
      <rPr>
        <sz val="11"/>
        <color theme="1"/>
        <rFont val="ＭＳ Ｐ明朝"/>
        <family val="1"/>
        <charset val="128"/>
      </rPr>
      <t>の定格消費電力</t>
    </r>
    <r>
      <rPr>
        <i/>
        <sz val="11"/>
        <color theme="1"/>
        <rFont val="Times New Roman"/>
        <family val="1"/>
      </rPr>
      <t>W</t>
    </r>
    <r>
      <rPr>
        <vertAlign val="subscript"/>
        <sz val="11"/>
        <color theme="1"/>
        <rFont val="Times New Roman"/>
        <family val="1"/>
      </rPr>
      <t>1</t>
    </r>
    <rPh sb="5" eb="7">
      <t>ネツゲン</t>
    </rPh>
    <rPh sb="7" eb="8">
      <t>スイ</t>
    </rPh>
    <rPh sb="13" eb="15">
      <t>テイカク</t>
    </rPh>
    <rPh sb="15" eb="17">
      <t>ショウヒ</t>
    </rPh>
    <rPh sb="17" eb="19">
      <t>デンリョク</t>
    </rPh>
    <phoneticPr fontId="1"/>
  </si>
  <si>
    <r>
      <t xml:space="preserve">4) </t>
    </r>
    <r>
      <rPr>
        <sz val="11"/>
        <color theme="1"/>
        <rFont val="ＭＳ Ｐ明朝"/>
        <family val="1"/>
        <charset val="128"/>
      </rPr>
      <t>熱源水ポンプ</t>
    </r>
    <r>
      <rPr>
        <sz val="11"/>
        <color theme="1"/>
        <rFont val="Times New Roman"/>
        <family val="1"/>
      </rPr>
      <t>2</t>
    </r>
    <r>
      <rPr>
        <sz val="11"/>
        <color theme="1"/>
        <rFont val="ＭＳ Ｐ明朝"/>
        <family val="1"/>
        <charset val="128"/>
      </rPr>
      <t>に係る入力</t>
    </r>
    <rPh sb="3" eb="5">
      <t>ネツゲン</t>
    </rPh>
    <rPh sb="5" eb="6">
      <t>スイ</t>
    </rPh>
    <rPh sb="11" eb="12">
      <t>カカ</t>
    </rPh>
    <rPh sb="13" eb="15">
      <t>ニュウリョク</t>
    </rPh>
    <phoneticPr fontId="1"/>
  </si>
  <si>
    <r>
      <rPr>
        <sz val="11"/>
        <color theme="1"/>
        <rFont val="Times New Roman"/>
        <family val="1"/>
      </rPr>
      <t xml:space="preserve">4-1) </t>
    </r>
    <r>
      <rPr>
        <sz val="11"/>
        <color theme="1"/>
        <rFont val="ＭＳ Ｐ明朝"/>
        <family val="1"/>
        <charset val="128"/>
      </rPr>
      <t>熱源水ポンプ</t>
    </r>
    <r>
      <rPr>
        <sz val="11"/>
        <color theme="1"/>
        <rFont val="Times New Roman"/>
        <family val="1"/>
      </rPr>
      <t>2</t>
    </r>
    <r>
      <rPr>
        <sz val="11"/>
        <color theme="1"/>
        <rFont val="ＭＳ Ｐ明朝"/>
        <family val="1"/>
        <charset val="128"/>
      </rPr>
      <t>の定格消費電力</t>
    </r>
    <r>
      <rPr>
        <i/>
        <sz val="11"/>
        <color theme="1"/>
        <rFont val="Times New Roman"/>
        <family val="1"/>
      </rPr>
      <t>W</t>
    </r>
    <r>
      <rPr>
        <vertAlign val="subscript"/>
        <sz val="11"/>
        <color theme="1"/>
        <rFont val="Times New Roman"/>
        <family val="1"/>
      </rPr>
      <t>2</t>
    </r>
    <rPh sb="5" eb="7">
      <t>ネツゲン</t>
    </rPh>
    <rPh sb="7" eb="8">
      <t>スイ</t>
    </rPh>
    <rPh sb="13" eb="15">
      <t>テイカク</t>
    </rPh>
    <rPh sb="15" eb="17">
      <t>ショウヒ</t>
    </rPh>
    <rPh sb="17" eb="19">
      <t>デンリョク</t>
    </rPh>
    <phoneticPr fontId="1"/>
  </si>
  <si>
    <t>　入力(選択)にあたっての注意事項
   (注：記号の下付等が反映されない場合があります)</t>
    <rPh sb="1" eb="3">
      <t>ニュウリョク</t>
    </rPh>
    <rPh sb="4" eb="6">
      <t>センタク</t>
    </rPh>
    <rPh sb="13" eb="15">
      <t>チュウイ</t>
    </rPh>
    <rPh sb="15" eb="17">
      <t>ジコウ</t>
    </rPh>
    <phoneticPr fontId="1"/>
  </si>
  <si>
    <t>タイプF</t>
  </si>
  <si>
    <t>※揚水ポンプの性能値を入力する。</t>
    <rPh sb="1" eb="3">
      <t>ヨウスイ</t>
    </rPh>
    <rPh sb="7" eb="10">
      <t>セイノウチ</t>
    </rPh>
    <rPh sb="11" eb="13">
      <t>ニュウリョク</t>
    </rPh>
    <phoneticPr fontId="1"/>
  </si>
  <si>
    <r>
      <rPr>
        <sz val="11"/>
        <color theme="1"/>
        <rFont val="ＭＳ Ｐ明朝"/>
        <family val="1"/>
        <charset val="128"/>
      </rPr>
      <t>※熱源水ポンプ</t>
    </r>
    <r>
      <rPr>
        <sz val="11"/>
        <color theme="1"/>
        <rFont val="Times New Roman"/>
        <family val="1"/>
      </rPr>
      <t>1</t>
    </r>
    <r>
      <rPr>
        <sz val="11"/>
        <color theme="1"/>
        <rFont val="ＭＳ Ｐ明朝"/>
        <family val="1"/>
        <charset val="128"/>
      </rPr>
      <t>の性能値を入力する。</t>
    </r>
    <rPh sb="1" eb="3">
      <t>ネツゲン</t>
    </rPh>
    <rPh sb="3" eb="4">
      <t>スイ</t>
    </rPh>
    <rPh sb="9" eb="11">
      <t>セイノウ</t>
    </rPh>
    <rPh sb="11" eb="12">
      <t>アタイ</t>
    </rPh>
    <rPh sb="13" eb="15">
      <t>ニュウリョク</t>
    </rPh>
    <phoneticPr fontId="1"/>
  </si>
  <si>
    <r>
      <rPr>
        <sz val="11"/>
        <color theme="1"/>
        <rFont val="ＭＳ Ｐ明朝"/>
        <family val="1"/>
        <charset val="128"/>
      </rPr>
      <t>※熱源水ポンプ</t>
    </r>
    <r>
      <rPr>
        <sz val="11"/>
        <color theme="1"/>
        <rFont val="Times New Roman"/>
        <family val="1"/>
      </rPr>
      <t>2</t>
    </r>
    <r>
      <rPr>
        <sz val="11"/>
        <color theme="1"/>
        <rFont val="ＭＳ Ｐ明朝"/>
        <family val="1"/>
        <charset val="128"/>
      </rPr>
      <t>の性能値を入力する。</t>
    </r>
    <rPh sb="1" eb="3">
      <t>ネツゲン</t>
    </rPh>
    <rPh sb="3" eb="4">
      <t>スイ</t>
    </rPh>
    <rPh sb="9" eb="11">
      <t>セイノウ</t>
    </rPh>
    <rPh sb="11" eb="12">
      <t>アタイ</t>
    </rPh>
    <rPh sb="13" eb="15">
      <t>ニュウリョク</t>
    </rPh>
    <phoneticPr fontId="1"/>
  </si>
  <si>
    <t>AC01</t>
    <phoneticPr fontId="1"/>
  </si>
  <si>
    <r>
      <rPr>
        <sz val="11"/>
        <color theme="1"/>
        <rFont val="Times New Roman"/>
        <family val="1"/>
      </rPr>
      <t xml:space="preserve">3-2) </t>
    </r>
    <r>
      <rPr>
        <sz val="11"/>
        <color theme="1"/>
        <rFont val="ＭＳ Ｐ明朝"/>
        <family val="1"/>
        <charset val="128"/>
      </rPr>
      <t>熱源水ポンプ</t>
    </r>
    <r>
      <rPr>
        <sz val="11"/>
        <color theme="1"/>
        <rFont val="Times New Roman"/>
        <family val="1"/>
      </rPr>
      <t>1</t>
    </r>
    <r>
      <rPr>
        <sz val="11"/>
        <color theme="1"/>
        <rFont val="ＭＳ Ｐ明朝"/>
        <family val="1"/>
        <charset val="128"/>
      </rPr>
      <t>の定格流量</t>
    </r>
    <r>
      <rPr>
        <i/>
        <sz val="11"/>
        <color theme="1"/>
        <rFont val="Times New Roman"/>
        <family val="1"/>
      </rPr>
      <t>V</t>
    </r>
    <r>
      <rPr>
        <vertAlign val="subscript"/>
        <sz val="11"/>
        <color theme="1"/>
        <rFont val="Times New Roman"/>
        <family val="1"/>
      </rPr>
      <t>1</t>
    </r>
    <rPh sb="5" eb="7">
      <t>ネツゲン</t>
    </rPh>
    <rPh sb="7" eb="8">
      <t>スイ</t>
    </rPh>
    <rPh sb="13" eb="15">
      <t>テイカク</t>
    </rPh>
    <rPh sb="15" eb="17">
      <t>リュウリョウ</t>
    </rPh>
    <phoneticPr fontId="1"/>
  </si>
  <si>
    <r>
      <rPr>
        <sz val="11"/>
        <color theme="1"/>
        <rFont val="ＭＳ Ｐ明朝"/>
        <family val="1"/>
        <charset val="128"/>
      </rPr>
      <t>※有効桁数</t>
    </r>
    <r>
      <rPr>
        <sz val="11"/>
        <color theme="1"/>
        <rFont val="Times New Roman"/>
        <family val="1"/>
      </rPr>
      <t>4</t>
    </r>
    <r>
      <rPr>
        <sz val="11"/>
        <color theme="1"/>
        <rFont val="ＭＳ Ｐ明朝"/>
        <family val="1"/>
        <charset val="128"/>
      </rPr>
      <t>桁を四捨五入して井水槽の断熱材厚さを入力する。入力値の単位は「</t>
    </r>
    <r>
      <rPr>
        <sz val="11"/>
        <color theme="1"/>
        <rFont val="Times New Roman"/>
        <family val="1"/>
      </rPr>
      <t>mm</t>
    </r>
    <r>
      <rPr>
        <sz val="11"/>
        <color theme="1"/>
        <rFont val="ＭＳ Ｐ明朝"/>
        <family val="1"/>
        <charset val="128"/>
      </rPr>
      <t>」「</t>
    </r>
    <r>
      <rPr>
        <sz val="11"/>
        <color theme="1"/>
        <rFont val="Times New Roman"/>
        <family val="1"/>
      </rPr>
      <t>cm</t>
    </r>
    <r>
      <rPr>
        <sz val="11"/>
        <color theme="1"/>
        <rFont val="ＭＳ Ｐ明朝"/>
        <family val="1"/>
        <charset val="128"/>
      </rPr>
      <t>」「</t>
    </r>
    <r>
      <rPr>
        <sz val="11"/>
        <color theme="1"/>
        <rFont val="Times New Roman"/>
        <family val="1"/>
      </rPr>
      <t>m</t>
    </r>
    <r>
      <rPr>
        <sz val="11"/>
        <color theme="1"/>
        <rFont val="ＭＳ Ｐ明朝"/>
        <family val="1"/>
        <charset val="128"/>
      </rPr>
      <t>」から選択できる。</t>
    </r>
    <rPh sb="29" eb="32">
      <t>ニュウリョクチ</t>
    </rPh>
    <rPh sb="33" eb="35">
      <t>タンイ</t>
    </rPh>
    <rPh sb="49" eb="51">
      <t>センタク</t>
    </rPh>
    <phoneticPr fontId="1"/>
  </si>
  <si>
    <r>
      <t>※井水槽に設置された断熱材の熱伝導率を入力する。有効桁数</t>
    </r>
    <r>
      <rPr>
        <sz val="11"/>
        <color theme="1"/>
        <rFont val="Times New Roman"/>
        <family val="1"/>
      </rPr>
      <t>4</t>
    </r>
    <r>
      <rPr>
        <sz val="11"/>
        <color theme="1"/>
        <rFont val="ＭＳ Ｐ明朝"/>
        <family val="1"/>
        <charset val="128"/>
      </rPr>
      <t>桁を四捨五入して入力する。</t>
    </r>
    <rPh sb="1" eb="3">
      <t>イスイ</t>
    </rPh>
    <rPh sb="3" eb="4">
      <t>ソウ</t>
    </rPh>
    <rPh sb="5" eb="7">
      <t>セッチ</t>
    </rPh>
    <rPh sb="10" eb="13">
      <t>ダンネツザイ</t>
    </rPh>
    <rPh sb="14" eb="18">
      <t>ネツデンドウリツ</t>
    </rPh>
    <rPh sb="19" eb="21">
      <t>ニュウリョク</t>
    </rPh>
    <phoneticPr fontId="1"/>
  </si>
  <si>
    <t>●設計の妥当性の確認(抄)：</t>
    <rPh sb="1" eb="3">
      <t>セッケイ</t>
    </rPh>
    <rPh sb="4" eb="7">
      <t>ダトウセイ</t>
    </rPh>
    <rPh sb="8" eb="10">
      <t>カクニン</t>
    </rPh>
    <rPh sb="11" eb="12">
      <t>ショウ</t>
    </rPh>
    <phoneticPr fontId="1"/>
  </si>
  <si>
    <r>
      <t xml:space="preserve">6-3) </t>
    </r>
    <r>
      <rPr>
        <sz val="11"/>
        <color theme="1"/>
        <rFont val="ＭＳ Ｐ明朝"/>
        <family val="1"/>
        <charset val="128"/>
      </rPr>
      <t>外気に開放された空間に設置されている</t>
    </r>
    <phoneticPr fontId="1"/>
  </si>
  <si>
    <r>
      <rPr>
        <sz val="11"/>
        <color theme="1"/>
        <rFont val="Times New Roman"/>
        <family val="1"/>
      </rPr>
      <t xml:space="preserve">6-4) </t>
    </r>
    <r>
      <rPr>
        <sz val="11"/>
        <color theme="1"/>
        <rFont val="ＭＳ Ｐ明朝"/>
        <family val="1"/>
        <charset val="128"/>
      </rPr>
      <t>井水槽断熱材の厚さ</t>
    </r>
    <r>
      <rPr>
        <sz val="11"/>
        <color theme="1"/>
        <rFont val="Times New Roman"/>
        <family val="1"/>
      </rPr>
      <t xml:space="preserve"> </t>
    </r>
    <r>
      <rPr>
        <i/>
        <sz val="11"/>
        <color theme="1"/>
        <rFont val="Times New Roman"/>
        <family val="1"/>
      </rPr>
      <t>l</t>
    </r>
    <r>
      <rPr>
        <i/>
        <vertAlign val="subscript"/>
        <sz val="11"/>
        <color theme="1"/>
        <rFont val="Times New Roman"/>
        <family val="1"/>
      </rPr>
      <t>ins</t>
    </r>
    <rPh sb="5" eb="7">
      <t>イスイ</t>
    </rPh>
    <rPh sb="7" eb="8">
      <t>ソウ</t>
    </rPh>
    <rPh sb="8" eb="11">
      <t>ダンネツザイ</t>
    </rPh>
    <rPh sb="12" eb="13">
      <t>アツ</t>
    </rPh>
    <phoneticPr fontId="1"/>
  </si>
  <si>
    <r>
      <rPr>
        <sz val="11"/>
        <color theme="1"/>
        <rFont val="ＭＳ Ｐ明朝"/>
        <family val="1"/>
        <charset val="128"/>
      </rPr>
      <t>6</t>
    </r>
    <r>
      <rPr>
        <sz val="11"/>
        <color theme="1"/>
        <rFont val="Times New Roman"/>
        <family val="1"/>
      </rPr>
      <t xml:space="preserve">-5) </t>
    </r>
    <r>
      <rPr>
        <sz val="11"/>
        <color theme="1"/>
        <rFont val="ＭＳ Ｐ明朝"/>
        <family val="1"/>
        <charset val="128"/>
      </rPr>
      <t xml:space="preserve">井水槽断熱材の熱伝導率 </t>
    </r>
    <r>
      <rPr>
        <i/>
        <sz val="11"/>
        <color theme="1"/>
        <rFont val="Times New Roman"/>
        <family val="1"/>
      </rPr>
      <t>λ</t>
    </r>
    <r>
      <rPr>
        <i/>
        <vertAlign val="subscript"/>
        <sz val="11"/>
        <color theme="1"/>
        <rFont val="Times New Roman"/>
        <family val="1"/>
      </rPr>
      <t>ins</t>
    </r>
    <rPh sb="5" eb="6">
      <t>イ</t>
    </rPh>
    <rPh sb="6" eb="8">
      <t>スイソウ</t>
    </rPh>
    <rPh sb="8" eb="11">
      <t>ダンネツザイ</t>
    </rPh>
    <rPh sb="12" eb="13">
      <t>ネツ</t>
    </rPh>
    <rPh sb="13" eb="16">
      <t>デンドウリツ</t>
    </rPh>
    <phoneticPr fontId="1"/>
  </si>
  <si>
    <t>○</t>
    <phoneticPr fontId="1"/>
  </si>
  <si>
    <r>
      <rPr>
        <sz val="14"/>
        <color theme="1"/>
        <rFont val="ＭＳ Ｐ明朝"/>
        <family val="1"/>
        <charset val="128"/>
      </rPr>
      <t>オープンループ型地中熱ヒートポンプシステムの
　　　　　　　　　　　　熱源水ポンプ群合計消費電力計算シート</t>
    </r>
    <r>
      <rPr>
        <sz val="14"/>
        <color theme="1"/>
        <rFont val="Times New Roman"/>
        <family val="1"/>
      </rPr>
      <t xml:space="preserve"> </t>
    </r>
    <r>
      <rPr>
        <sz val="14"/>
        <color theme="1"/>
        <rFont val="ＭＳ Ｐ明朝"/>
        <family val="1"/>
        <charset val="128"/>
      </rPr>
      <t>(</t>
    </r>
    <r>
      <rPr>
        <sz val="14"/>
        <color theme="1"/>
        <rFont val="Times New Roman"/>
        <family val="1"/>
      </rPr>
      <t>Ver.1.0</t>
    </r>
    <r>
      <rPr>
        <sz val="14"/>
        <color theme="1"/>
        <rFont val="ＭＳ Ｐ明朝"/>
        <family val="1"/>
        <charset val="128"/>
      </rPr>
      <t>)</t>
    </r>
    <rPh sb="42" eb="44">
      <t>ゴウケイ</t>
    </rPh>
    <rPh sb="44" eb="46">
      <t>ショウヒ</t>
    </rPh>
    <rPh sb="46" eb="48">
      <t>デンリョク</t>
    </rPh>
    <rPh sb="48" eb="50">
      <t>ケイサン</t>
    </rPh>
    <phoneticPr fontId="1"/>
  </si>
  <si>
    <r>
      <rPr>
        <sz val="14"/>
        <color theme="1"/>
        <rFont val="ＭＳ Ｐ明朝"/>
        <family val="1"/>
        <charset val="128"/>
      </rPr>
      <t xml:space="preserve">オープンループ型地中熱ヒートポンプシステムの
</t>
    </r>
    <r>
      <rPr>
        <sz val="14"/>
        <color theme="1"/>
        <rFont val="Times New Roman"/>
        <family val="1"/>
      </rPr>
      <t xml:space="preserve">                                                                </t>
    </r>
    <r>
      <rPr>
        <sz val="14"/>
        <color theme="1"/>
        <rFont val="ＭＳ Ｐ明朝"/>
        <family val="1"/>
        <charset val="128"/>
      </rPr>
      <t>設計チェックシート(</t>
    </r>
    <r>
      <rPr>
        <sz val="14"/>
        <color theme="1"/>
        <rFont val="Times New Roman"/>
        <family val="1"/>
      </rPr>
      <t>Ver.1.0</t>
    </r>
    <r>
      <rPr>
        <sz val="14"/>
        <color theme="1"/>
        <rFont val="ＭＳ Ｐ明朝"/>
        <family val="1"/>
        <charset val="128"/>
      </rPr>
      <t>)</t>
    </r>
    <rPh sb="87" eb="89">
      <t>セッケイ</t>
    </rPh>
    <phoneticPr fontId="1"/>
  </si>
  <si>
    <r>
      <rPr>
        <sz val="11"/>
        <color theme="0"/>
        <rFont val="ＭＳ Ｐ明朝"/>
        <family val="1"/>
        <charset val="128"/>
      </rPr>
      <t>方式</t>
    </r>
    <rPh sb="0" eb="2">
      <t>ホウシキ</t>
    </rPh>
    <phoneticPr fontId="1"/>
  </si>
  <si>
    <r>
      <rPr>
        <sz val="11"/>
        <color theme="0"/>
        <rFont val="ＭＳ Ｐ明朝"/>
        <family val="1"/>
        <charset val="128"/>
      </rPr>
      <t>井水槽温度補正値</t>
    </r>
    <r>
      <rPr>
        <sz val="11"/>
        <color theme="0"/>
        <rFont val="Times New Roman"/>
        <family val="1"/>
      </rPr>
      <t>(</t>
    </r>
    <r>
      <rPr>
        <sz val="11"/>
        <color theme="0"/>
        <rFont val="ＭＳ Ｐ明朝"/>
        <family val="1"/>
        <charset val="128"/>
      </rPr>
      <t>暖房</t>
    </r>
    <r>
      <rPr>
        <sz val="11"/>
        <color theme="0"/>
        <rFont val="Times New Roman"/>
        <family val="1"/>
      </rPr>
      <t>)</t>
    </r>
    <rPh sb="0" eb="2">
      <t>イスイ</t>
    </rPh>
    <rPh sb="2" eb="3">
      <t>ソウ</t>
    </rPh>
    <rPh sb="3" eb="5">
      <t>オンド</t>
    </rPh>
    <rPh sb="5" eb="8">
      <t>ホセイチ</t>
    </rPh>
    <rPh sb="9" eb="11">
      <t>ダンボウ</t>
    </rPh>
    <phoneticPr fontId="1"/>
  </si>
  <si>
    <r>
      <rPr>
        <sz val="11"/>
        <color theme="0"/>
        <rFont val="ＭＳ Ｐ明朝"/>
        <family val="1"/>
        <charset val="128"/>
      </rPr>
      <t>井水槽温度補正値</t>
    </r>
    <r>
      <rPr>
        <sz val="11"/>
        <color theme="0"/>
        <rFont val="Times New Roman"/>
        <family val="1"/>
      </rPr>
      <t>(</t>
    </r>
    <r>
      <rPr>
        <sz val="11"/>
        <color theme="0"/>
        <rFont val="ＭＳ Ｐ明朝"/>
        <family val="1"/>
        <charset val="128"/>
      </rPr>
      <t>冷房</t>
    </r>
    <r>
      <rPr>
        <sz val="11"/>
        <color theme="0"/>
        <rFont val="Times New Roman"/>
        <family val="1"/>
      </rPr>
      <t>)</t>
    </r>
    <rPh sb="0" eb="2">
      <t>イスイ</t>
    </rPh>
    <rPh sb="2" eb="3">
      <t>ソウ</t>
    </rPh>
    <rPh sb="3" eb="5">
      <t>オンド</t>
    </rPh>
    <rPh sb="5" eb="8">
      <t>ホセイチ</t>
    </rPh>
    <rPh sb="9" eb="11">
      <t>レイボウ</t>
    </rPh>
    <phoneticPr fontId="1"/>
  </si>
  <si>
    <r>
      <rPr>
        <sz val="11"/>
        <color theme="0"/>
        <rFont val="ＭＳ Ｐ明朝"/>
        <family val="1"/>
        <charset val="128"/>
      </rPr>
      <t>熱交換器温度補正値</t>
    </r>
    <r>
      <rPr>
        <sz val="11"/>
        <color theme="0"/>
        <rFont val="Times New Roman"/>
        <family val="1"/>
      </rPr>
      <t>(</t>
    </r>
    <r>
      <rPr>
        <sz val="11"/>
        <color theme="0"/>
        <rFont val="ＭＳ Ｐ明朝"/>
        <family val="1"/>
        <charset val="128"/>
      </rPr>
      <t>暖房</t>
    </r>
    <r>
      <rPr>
        <sz val="11"/>
        <color theme="0"/>
        <rFont val="Times New Roman"/>
        <family val="1"/>
      </rPr>
      <t>)</t>
    </r>
    <rPh sb="0" eb="1">
      <t>ネツ</t>
    </rPh>
    <rPh sb="1" eb="4">
      <t>コウカンキ</t>
    </rPh>
    <rPh sb="4" eb="6">
      <t>オンド</t>
    </rPh>
    <rPh sb="6" eb="9">
      <t>ホセイチ</t>
    </rPh>
    <phoneticPr fontId="1"/>
  </si>
  <si>
    <r>
      <rPr>
        <sz val="11"/>
        <color theme="0"/>
        <rFont val="ＭＳ Ｐ明朝"/>
        <family val="1"/>
        <charset val="128"/>
      </rPr>
      <t>熱交換器温度補正値</t>
    </r>
    <r>
      <rPr>
        <sz val="11"/>
        <color theme="0"/>
        <rFont val="Times New Roman"/>
        <family val="1"/>
      </rPr>
      <t>(</t>
    </r>
    <r>
      <rPr>
        <sz val="11"/>
        <color theme="0"/>
        <rFont val="ＭＳ Ｐ明朝"/>
        <family val="1"/>
        <charset val="128"/>
      </rPr>
      <t>冷房</t>
    </r>
    <r>
      <rPr>
        <sz val="11"/>
        <color theme="0"/>
        <rFont val="Times New Roman"/>
        <family val="1"/>
      </rPr>
      <t>)</t>
    </r>
    <rPh sb="0" eb="1">
      <t>ネツ</t>
    </rPh>
    <rPh sb="1" eb="4">
      <t>コウカンキ</t>
    </rPh>
    <rPh sb="4" eb="6">
      <t>オンド</t>
    </rPh>
    <rPh sb="6" eb="9">
      <t>ホセイチ</t>
    </rPh>
    <rPh sb="10" eb="12">
      <t>レイボウ</t>
    </rPh>
    <phoneticPr fontId="1"/>
  </si>
  <si>
    <r>
      <rPr>
        <sz val="11"/>
        <color theme="0"/>
        <rFont val="ＭＳ Ｐ明朝"/>
        <family val="1"/>
        <charset val="128"/>
      </rPr>
      <t>タイプ</t>
    </r>
    <r>
      <rPr>
        <sz val="11"/>
        <color theme="0"/>
        <rFont val="Times New Roman"/>
        <family val="1"/>
      </rPr>
      <t>A</t>
    </r>
    <phoneticPr fontId="1"/>
  </si>
  <si>
    <r>
      <rPr>
        <sz val="11"/>
        <color theme="0"/>
        <rFont val="ＭＳ Ｐ明朝"/>
        <family val="1"/>
        <charset val="128"/>
      </rPr>
      <t>タイプ</t>
    </r>
    <r>
      <rPr>
        <sz val="11"/>
        <color theme="0"/>
        <rFont val="Times New Roman"/>
        <family val="1"/>
      </rPr>
      <t>B</t>
    </r>
    <phoneticPr fontId="1"/>
  </si>
  <si>
    <r>
      <rPr>
        <sz val="11"/>
        <color theme="0"/>
        <rFont val="ＭＳ Ｐ明朝"/>
        <family val="1"/>
        <charset val="128"/>
      </rPr>
      <t>タイプ</t>
    </r>
    <r>
      <rPr>
        <sz val="11"/>
        <color theme="0"/>
        <rFont val="Times New Roman"/>
        <family val="1"/>
      </rPr>
      <t>C</t>
    </r>
    <phoneticPr fontId="1"/>
  </si>
  <si>
    <r>
      <rPr>
        <sz val="11"/>
        <color theme="0"/>
        <rFont val="ＭＳ Ｐ明朝"/>
        <family val="1"/>
        <charset val="128"/>
      </rPr>
      <t>タイプ</t>
    </r>
    <r>
      <rPr>
        <sz val="11"/>
        <color theme="0"/>
        <rFont val="Times New Roman"/>
        <family val="1"/>
      </rPr>
      <t>D</t>
    </r>
    <phoneticPr fontId="1"/>
  </si>
  <si>
    <r>
      <rPr>
        <sz val="11"/>
        <color theme="0"/>
        <rFont val="ＭＳ Ｐ明朝"/>
        <family val="1"/>
        <charset val="128"/>
      </rPr>
      <t>タイプ</t>
    </r>
    <r>
      <rPr>
        <sz val="11"/>
        <color theme="0"/>
        <rFont val="Times New Roman"/>
        <family val="1"/>
      </rPr>
      <t>E</t>
    </r>
    <phoneticPr fontId="1"/>
  </si>
  <si>
    <r>
      <rPr>
        <sz val="11"/>
        <color theme="0"/>
        <rFont val="ＭＳ Ｐ明朝"/>
        <family val="1"/>
        <charset val="128"/>
      </rPr>
      <t>タイプ</t>
    </r>
    <r>
      <rPr>
        <sz val="11"/>
        <color theme="0"/>
        <rFont val="Times New Roman"/>
        <family val="1"/>
      </rPr>
      <t>F</t>
    </r>
    <phoneticPr fontId="1"/>
  </si>
  <si>
    <r>
      <rPr>
        <sz val="11"/>
        <color theme="0"/>
        <rFont val="ＭＳ Ｐ明朝"/>
        <family val="1"/>
        <charset val="128"/>
      </rPr>
      <t>タイプ</t>
    </r>
    <r>
      <rPr>
        <sz val="11"/>
        <color theme="0"/>
        <rFont val="Times New Roman"/>
        <family val="1"/>
      </rPr>
      <t>A</t>
    </r>
  </si>
  <si>
    <r>
      <rPr>
        <sz val="11"/>
        <color theme="0"/>
        <rFont val="ＭＳ Ｐ明朝"/>
        <family val="1"/>
        <charset val="128"/>
      </rPr>
      <t>タイプ</t>
    </r>
    <r>
      <rPr>
        <sz val="11"/>
        <color theme="0"/>
        <rFont val="Times New Roman"/>
        <family val="1"/>
      </rPr>
      <t>B</t>
    </r>
  </si>
  <si>
    <r>
      <rPr>
        <sz val="11"/>
        <color theme="0"/>
        <rFont val="ＭＳ Ｐ明朝"/>
        <family val="1"/>
        <charset val="128"/>
      </rPr>
      <t>タイプ</t>
    </r>
    <r>
      <rPr>
        <sz val="11"/>
        <color theme="0"/>
        <rFont val="Times New Roman"/>
        <family val="1"/>
      </rPr>
      <t>C</t>
    </r>
  </si>
  <si>
    <r>
      <rPr>
        <sz val="11"/>
        <color theme="0"/>
        <rFont val="ＭＳ Ｐ明朝"/>
        <family val="1"/>
        <charset val="128"/>
      </rPr>
      <t>タイプ</t>
    </r>
    <r>
      <rPr>
        <sz val="11"/>
        <color theme="0"/>
        <rFont val="Times New Roman"/>
        <family val="1"/>
      </rPr>
      <t>D</t>
    </r>
  </si>
  <si>
    <r>
      <rPr>
        <sz val="11"/>
        <color theme="0"/>
        <rFont val="ＭＳ Ｐ明朝"/>
        <family val="1"/>
        <charset val="128"/>
      </rPr>
      <t>タイプ</t>
    </r>
    <r>
      <rPr>
        <sz val="11"/>
        <color theme="0"/>
        <rFont val="Times New Roman"/>
        <family val="1"/>
      </rPr>
      <t>E</t>
    </r>
  </si>
  <si>
    <r>
      <rPr>
        <sz val="11"/>
        <color theme="0"/>
        <rFont val="ＭＳ Ｐ明朝"/>
        <family val="1"/>
        <charset val="128"/>
      </rPr>
      <t>タイプ</t>
    </r>
    <r>
      <rPr>
        <sz val="11"/>
        <color theme="0"/>
        <rFont val="Times New Roman"/>
        <family val="1"/>
      </rPr>
      <t>F</t>
    </r>
  </si>
  <si>
    <r>
      <rPr>
        <sz val="11"/>
        <color theme="0"/>
        <rFont val="ＭＳ Ｐ明朝"/>
        <family val="1"/>
        <charset val="128"/>
      </rPr>
      <t>○</t>
    </r>
    <phoneticPr fontId="1"/>
  </si>
  <si>
    <t>○○株式会社　○○</t>
    <rPh sb="2" eb="6">
      <t>カブシキガイシャ</t>
    </rPh>
    <phoneticPr fontId="1"/>
  </si>
  <si>
    <r>
      <t>2020/</t>
    </r>
    <r>
      <rPr>
        <sz val="11"/>
        <color theme="1"/>
        <rFont val="ＭＳ Ｐ明朝"/>
        <family val="1"/>
        <charset val="128"/>
      </rPr>
      <t>○</t>
    </r>
    <r>
      <rPr>
        <sz val="11"/>
        <color theme="1"/>
        <rFont val="Times New Roman"/>
        <family val="1"/>
      </rPr>
      <t>/</t>
    </r>
    <r>
      <rPr>
        <sz val="11"/>
        <color theme="1"/>
        <rFont val="ＭＳ Ｐ明朝"/>
        <family val="1"/>
        <charset val="128"/>
      </rPr>
      <t>○</t>
    </r>
    <phoneticPr fontId="1"/>
  </si>
  <si>
    <t>（２）使用にあたっての注意事項</t>
    <phoneticPr fontId="31"/>
  </si>
  <si>
    <t>　本シートをダウンロードした際に、WindowsおよびExcelのVersionによっては開けない場合があります(「ファイルが破損しているため開くことができません」といった表示が出ることがあります)。その場合はコンピュータのセキュリティ設定によりブロックされている可能性が考えられます。Windowsでは、ファイルのプロパティを確認し(ファイルを選択して右クリック→「プロパティ」を選択)、「全般」タブの一番下の「セキュリティ」の項目で「ブロックの解除」ボタンを押すことでファイルを開ける場合があります（但し、自己責任で実施してください）。それでも開けない場合は、OSやセキュリティソフト等の設定を各自でご確認ください。</t>
    <rPh sb="252" eb="253">
      <t>タダシ</t>
    </rPh>
    <rPh sb="255" eb="259">
      <t>ジコセキニｎ</t>
    </rPh>
    <rPh sb="260" eb="262">
      <t>ジッシシテクダサイ</t>
    </rPh>
    <rPh sb="299" eb="301">
      <t>カクジ</t>
    </rPh>
    <phoneticPr fontId="31"/>
  </si>
  <si>
    <t>　本シートではマクロ(Excel VBA)を使用していません。ファイルを開く際にはマクロを無効にして使用することを推奨します。</t>
    <phoneticPr fontId="31"/>
  </si>
  <si>
    <t>　本シートの計算はセル内の数式ですべて処理されています。数式が入力されているセルを不用意に書き換えた場合、計算が適切にされない場合がありますのでご注意下さい。</t>
    <phoneticPr fontId="31"/>
  </si>
  <si>
    <t>（３）入力前の準備</t>
  </si>
  <si>
    <t>② 作成日、入力者等を記入する。</t>
    <phoneticPr fontId="31"/>
  </si>
  <si>
    <t>③ 建物(等)の名前を記入する。</t>
    <phoneticPr fontId="31"/>
  </si>
  <si>
    <t>（１）オープンループ型地中熱ヒートポンプシステムの熱源水ポンプ群合計消費電力計算シートの概要</t>
    <phoneticPr fontId="1"/>
  </si>
  <si>
    <t>オープンループ型地中熱ヒートポンプシステムの熱源水ポンプ群合計消費電力計算シート(Ver.1.0)　使い方(2020/10)</t>
    <phoneticPr fontId="1"/>
  </si>
  <si>
    <t>　本シートはMicrosoft社製表計算ソフトExcel(Excel 2007以降)が使用するExcelブック形式(拡張子：xlsx)のファイルとして作成しています。Windows版Excel 2016にて作成し、他のVersionでも動作を確認していますが、すべてのVersionで動作を保証するものではありません。</t>
    <rPh sb="39" eb="41">
      <t>イコウ</t>
    </rPh>
    <phoneticPr fontId="31"/>
  </si>
  <si>
    <t>　建築研究所ホームページで公開している「オープンループ型地中熱ヒートポンプシステムの熱源水温度・熱源水ポンプ群合計消費電力計算方法」の「6. 評価のために必要な情報」を確認し、図面等の資料から入力する情報を整理してください。</t>
    <phoneticPr fontId="1"/>
  </si>
  <si>
    <t>① 本シート表題。</t>
    <phoneticPr fontId="1"/>
  </si>
  <si>
    <t>④ 地中熱ヒートポンプシステムの熱源・空調系統名を記入する。</t>
    <phoneticPr fontId="1"/>
  </si>
  <si>
    <t>⑤ オープンループ型のタイプを選択する(タイプA～F)。タイプに応じた図が表示されるので、システム構成が合致しているかを確認する。</t>
    <rPh sb="15" eb="17">
      <t>センタク</t>
    </rPh>
    <rPh sb="32" eb="33">
      <t>オウ</t>
    </rPh>
    <rPh sb="35" eb="36">
      <t>ズ</t>
    </rPh>
    <rPh sb="37" eb="39">
      <t>ヒョウジ</t>
    </rPh>
    <rPh sb="49" eb="51">
      <t>コウセイ</t>
    </rPh>
    <rPh sb="52" eb="54">
      <t>ガッチ</t>
    </rPh>
    <rPh sb="60" eb="62">
      <t>カクニン</t>
    </rPh>
    <phoneticPr fontId="1"/>
  </si>
  <si>
    <r>
      <t>⑥ 揚水ポンプの定格消費電力</t>
    </r>
    <r>
      <rPr>
        <i/>
        <sz val="14"/>
        <rFont val="HG丸ｺﾞｼｯｸM-PRO"/>
        <family val="3"/>
        <charset val="128"/>
      </rPr>
      <t>W</t>
    </r>
    <r>
      <rPr>
        <vertAlign val="subscript"/>
        <sz val="14"/>
        <rFont val="HG丸ｺﾞｼｯｸM-PRO"/>
        <family val="3"/>
        <charset val="128"/>
      </rPr>
      <t>0</t>
    </r>
    <r>
      <rPr>
        <sz val="14"/>
        <rFont val="HG丸ｺﾞｼｯｸM-PRO"/>
        <family val="3"/>
        <charset val="128"/>
      </rPr>
      <t>[kW]を入力する。</t>
    </r>
    <rPh sb="2" eb="4">
      <t>ヨウスイ</t>
    </rPh>
    <rPh sb="8" eb="10">
      <t>テイカク</t>
    </rPh>
    <rPh sb="10" eb="12">
      <t>ショウヒ</t>
    </rPh>
    <rPh sb="12" eb="14">
      <t>デンリョク</t>
    </rPh>
    <rPh sb="21" eb="23">
      <t>ニュウリョク</t>
    </rPh>
    <phoneticPr fontId="31"/>
  </si>
  <si>
    <t>　本シートの「二重枠」で囲まれたセルに、基本情報ならびに地中熱ヒートポンプシステムの諸元を入力します(タイプによって入力が不要な項目はグレーアウトします)。入力にあたっては、本シートの「入力(選択)にあたっての注意事項」欄、表下の注意事項について確認してください。また、計算方法および「計算式」欄の計算式を確認し、検算することを推奨します。</t>
    <rPh sb="58" eb="60">
      <t>ニュウリョク</t>
    </rPh>
    <rPh sb="61" eb="63">
      <t>フヨウ</t>
    </rPh>
    <rPh sb="64" eb="66">
      <t>コウモク</t>
    </rPh>
    <phoneticPr fontId="31"/>
  </si>
  <si>
    <r>
      <t>⑦ タイプB、C、E、Fについては、揚水ポンプの定格流量</t>
    </r>
    <r>
      <rPr>
        <i/>
        <sz val="14"/>
        <rFont val="HG丸ｺﾞｼｯｸM-PRO"/>
        <family val="3"/>
        <charset val="128"/>
      </rPr>
      <t>V</t>
    </r>
    <r>
      <rPr>
        <vertAlign val="subscript"/>
        <sz val="14"/>
        <rFont val="HG丸ｺﾞｼｯｸM-PRO"/>
        <family val="3"/>
        <charset val="128"/>
      </rPr>
      <t>0</t>
    </r>
    <r>
      <rPr>
        <sz val="14"/>
        <rFont val="HG丸ｺﾞｼｯｸM-PRO"/>
        <family val="3"/>
        <charset val="128"/>
      </rPr>
      <t>を入力する。流量の単位はL/min, m</t>
    </r>
    <r>
      <rPr>
        <vertAlign val="superscript"/>
        <sz val="14"/>
        <rFont val="HG丸ｺﾞｼｯｸM-PRO"/>
        <family val="3"/>
        <charset val="128"/>
      </rPr>
      <t>3</t>
    </r>
    <r>
      <rPr>
        <sz val="14"/>
        <rFont val="HG丸ｺﾞｼｯｸM-PRO"/>
        <family val="3"/>
        <charset val="128"/>
      </rPr>
      <t>/h, m</t>
    </r>
    <r>
      <rPr>
        <vertAlign val="superscript"/>
        <sz val="14"/>
        <rFont val="HG丸ｺﾞｼｯｸM-PRO"/>
        <family val="3"/>
        <charset val="128"/>
      </rPr>
      <t>3</t>
    </r>
    <r>
      <rPr>
        <sz val="14"/>
        <rFont val="HG丸ｺﾞｼｯｸM-PRO"/>
        <family val="3"/>
        <charset val="128"/>
      </rPr>
      <t>/sから選択できる(ただし、以下の流量もここで選択した単位で入力すること)。</t>
    </r>
    <rPh sb="18" eb="20">
      <t>ヨウスイ</t>
    </rPh>
    <rPh sb="24" eb="26">
      <t>テイカク</t>
    </rPh>
    <rPh sb="26" eb="28">
      <t>リュウリョウ</t>
    </rPh>
    <rPh sb="31" eb="33">
      <t>ニュウリョク</t>
    </rPh>
    <rPh sb="36" eb="38">
      <t>リュウリョウ</t>
    </rPh>
    <rPh sb="39" eb="41">
      <t>タンイ</t>
    </rPh>
    <rPh sb="61" eb="63">
      <t>センタク</t>
    </rPh>
    <rPh sb="71" eb="73">
      <t>イカ</t>
    </rPh>
    <rPh sb="74" eb="76">
      <t>リュウリョウ</t>
    </rPh>
    <rPh sb="80" eb="82">
      <t>センタク</t>
    </rPh>
    <rPh sb="84" eb="86">
      <t>タンイ</t>
    </rPh>
    <rPh sb="87" eb="89">
      <t>ニュウリョク</t>
    </rPh>
    <phoneticPr fontId="31"/>
  </si>
  <si>
    <r>
      <t>⑧ タイプA以外については、熱源水ポンプ1の定格消費電力</t>
    </r>
    <r>
      <rPr>
        <i/>
        <sz val="14"/>
        <rFont val="HG丸ｺﾞｼｯｸM-PRO"/>
        <family val="3"/>
        <charset val="128"/>
      </rPr>
      <t>W</t>
    </r>
    <r>
      <rPr>
        <vertAlign val="subscript"/>
        <sz val="14"/>
        <rFont val="HG丸ｺﾞｼｯｸM-PRO"/>
        <family val="3"/>
        <charset val="128"/>
      </rPr>
      <t>1</t>
    </r>
    <r>
      <rPr>
        <sz val="14"/>
        <rFont val="HG丸ｺﾞｼｯｸM-PRO"/>
        <family val="3"/>
        <charset val="128"/>
      </rPr>
      <t>[kW]を入力する。</t>
    </r>
    <rPh sb="6" eb="8">
      <t>イガイ</t>
    </rPh>
    <rPh sb="14" eb="16">
      <t>ネツゲン</t>
    </rPh>
    <rPh sb="16" eb="17">
      <t>スイ</t>
    </rPh>
    <rPh sb="22" eb="24">
      <t>テイカク</t>
    </rPh>
    <rPh sb="24" eb="26">
      <t>ショウヒ</t>
    </rPh>
    <rPh sb="26" eb="28">
      <t>デンリョク</t>
    </rPh>
    <rPh sb="35" eb="37">
      <t>ニュウリョク</t>
    </rPh>
    <phoneticPr fontId="31"/>
  </si>
  <si>
    <r>
      <t>⑨ タイプB、C、E、Fについては、熱源水ポンプ1の定格流量</t>
    </r>
    <r>
      <rPr>
        <i/>
        <sz val="14"/>
        <rFont val="HG丸ｺﾞｼｯｸM-PRO"/>
        <family val="3"/>
        <charset val="128"/>
      </rPr>
      <t>V</t>
    </r>
    <r>
      <rPr>
        <vertAlign val="subscript"/>
        <sz val="14"/>
        <rFont val="HG丸ｺﾞｼｯｸM-PRO"/>
        <family val="3"/>
        <charset val="128"/>
      </rPr>
      <t>1</t>
    </r>
    <r>
      <rPr>
        <sz val="14"/>
        <rFont val="HG丸ｺﾞｼｯｸM-PRO"/>
        <family val="3"/>
        <charset val="128"/>
      </rPr>
      <t>を入力する。</t>
    </r>
    <rPh sb="18" eb="20">
      <t>ネツゲン</t>
    </rPh>
    <rPh sb="20" eb="21">
      <t>スイ</t>
    </rPh>
    <rPh sb="26" eb="28">
      <t>テイカク</t>
    </rPh>
    <rPh sb="28" eb="30">
      <t>リュウリョウ</t>
    </rPh>
    <rPh sb="33" eb="35">
      <t>ニュウリョク</t>
    </rPh>
    <phoneticPr fontId="31"/>
  </si>
  <si>
    <r>
      <t>⑩ タイプE、Fについては、熱源水ポンプ2の定格消費電力</t>
    </r>
    <r>
      <rPr>
        <i/>
        <sz val="14"/>
        <rFont val="HG丸ｺﾞｼｯｸM-PRO"/>
        <family val="3"/>
        <charset val="128"/>
      </rPr>
      <t>W</t>
    </r>
    <r>
      <rPr>
        <vertAlign val="subscript"/>
        <sz val="14"/>
        <rFont val="HG丸ｺﾞｼｯｸM-PRO"/>
        <family val="3"/>
        <charset val="128"/>
      </rPr>
      <t>2</t>
    </r>
    <r>
      <rPr>
        <sz val="14"/>
        <rFont val="HG丸ｺﾞｼｯｸM-PRO"/>
        <family val="3"/>
        <charset val="128"/>
      </rPr>
      <t>[kW]を入力する。</t>
    </r>
    <rPh sb="14" eb="16">
      <t>ネツゲン</t>
    </rPh>
    <rPh sb="16" eb="17">
      <t>スイ</t>
    </rPh>
    <rPh sb="22" eb="24">
      <t>テイカク</t>
    </rPh>
    <rPh sb="24" eb="26">
      <t>ショウヒ</t>
    </rPh>
    <rPh sb="26" eb="28">
      <t>デンリョク</t>
    </rPh>
    <rPh sb="35" eb="37">
      <t>ニュウリョク</t>
    </rPh>
    <phoneticPr fontId="31"/>
  </si>
  <si>
    <r>
      <t>⑪ 熱源水ポンプ群合計消費電力</t>
    </r>
    <r>
      <rPr>
        <i/>
        <sz val="14"/>
        <rFont val="HG丸ｺﾞｼｯｸM-PRO"/>
        <family val="3"/>
        <charset val="128"/>
      </rPr>
      <t>W</t>
    </r>
    <r>
      <rPr>
        <vertAlign val="subscript"/>
        <sz val="14"/>
        <rFont val="HG丸ｺﾞｼｯｸM-PRO"/>
        <family val="3"/>
        <charset val="128"/>
      </rPr>
      <t>'</t>
    </r>
    <r>
      <rPr>
        <sz val="14"/>
        <rFont val="HG丸ｺﾞｼｯｸM-PRO"/>
        <family val="3"/>
        <charset val="128"/>
      </rPr>
      <t>[kW]が計算される。</t>
    </r>
    <rPh sb="2" eb="4">
      <t>ネツゲン</t>
    </rPh>
    <rPh sb="4" eb="5">
      <t>スイ</t>
    </rPh>
    <rPh sb="8" eb="9">
      <t>グン</t>
    </rPh>
    <rPh sb="9" eb="11">
      <t>ゴウケイ</t>
    </rPh>
    <rPh sb="11" eb="13">
      <t>ショウヒ</t>
    </rPh>
    <rPh sb="13" eb="15">
      <t>デンリョク</t>
    </rPh>
    <rPh sb="22" eb="24">
      <t>ケイサン</t>
    </rPh>
    <phoneticPr fontId="31"/>
  </si>
  <si>
    <t>図1　「オープンループ型地中熱ヒートポンプシステムの熱源水ポンプ群合計消費電力
計算シート(Ver.1,0)」における記入例</t>
    <phoneticPr fontId="1"/>
  </si>
  <si>
    <t>オープンループ型地中熱ヒートポンプシステムの設計チェックシート(Ver.1.0)　使い方(2020/10)</t>
    <phoneticPr fontId="1"/>
  </si>
  <si>
    <t>（１）オープンループ型地中熱ヒートポンプシステムの設計チェックシートの概要</t>
    <phoneticPr fontId="1"/>
  </si>
  <si>
    <t>　オープンループ型地中熱ヒートポンプシステムの熱源水ポンプ群合計消費電力計算シート(以下、本シート)は、「エネルギー消費性能計算プログラム(非住宅版)」においてオープンループ型地中熱ヒートポンプシステムの評価を行うにあたり必要となる熱源水ポンプ群合計消費電力を簡便に算定することを目的として作成しました。本シート上で、オープンループのタイプを選択し、タイプ毎に必要となる揚水ポンプ、熱源水ポンプの消費電力、定格流量を入力することで、熱源水ポンプ群合計消費電力を簡便に計算することができます。</t>
    <rPh sb="156" eb="157">
      <t>ジョウ</t>
    </rPh>
    <phoneticPr fontId="1"/>
  </si>
  <si>
    <t>　オープンループ型地中熱ヒートポンプシステムの設計チェックシート(以下、本シート)は、「エネルギー消費性能計算プログラム(非住宅版)」においてオープンループ型地中熱ヒートポンプシステムの評価を行うにあたって必要としている設計の妥当性の確認を簡便に行うことを可能とし、審査の簡略化につなげることを意図して作成しました。本シートにオープンループ型地中熱ヒートポンプシステムの設計諸元を入力することで、設計の妥当性を簡便に確認することができます。</t>
    <rPh sb="103" eb="105">
      <t>ヒツヨウ</t>
    </rPh>
    <rPh sb="117" eb="119">
      <t>カクニン</t>
    </rPh>
    <rPh sb="128" eb="130">
      <t>カノウ</t>
    </rPh>
    <rPh sb="147" eb="149">
      <t>イト</t>
    </rPh>
    <phoneticPr fontId="1"/>
  </si>
  <si>
    <t>　本シートはA4用紙2ページに印刷できるように調整していますが、使用環境によっては2ページに収まらない可能性があります。お使いの環境に合わせて、適宜設定を調整してください。</t>
    <rPh sb="64" eb="66">
      <t>カンキョウ</t>
    </rPh>
    <rPh sb="67" eb="68">
      <t>アワセテ</t>
    </rPh>
    <phoneticPr fontId="31"/>
  </si>
  <si>
    <t>　本シートはA4用紙1ページに印刷できるように調整していますが、使用環境によっては1ページに収まらない可能性があります。お使いの環境に合わせて、適宜設定を調整してください。</t>
    <rPh sb="64" eb="66">
      <t>カンキョウ</t>
    </rPh>
    <rPh sb="67" eb="68">
      <t>アワセテ</t>
    </rPh>
    <phoneticPr fontId="31"/>
  </si>
  <si>
    <t>　建築研究所ホームページで公開している「オープンループ型地中熱ヒートポンプシステムの熱源水温度・熱源水ポンプ群合計消費電力計算方法」の「6. 評価のために必要な情報」及び「附属書H オープンループ型地中熱ヒートポンプシステムの設計妥当性について確認する方法」を確認し、図面等の資料から入力する情報を整理してください。</t>
    <rPh sb="83" eb="84">
      <t>オヨ</t>
    </rPh>
    <rPh sb="86" eb="89">
      <t>フゾクショ</t>
    </rPh>
    <phoneticPr fontId="1"/>
  </si>
  <si>
    <t>③ 建物(等)の名前の記入欄。計算シートから転記されるようになっている。</t>
    <rPh sb="11" eb="14">
      <t>キニュウラン</t>
    </rPh>
    <phoneticPr fontId="31"/>
  </si>
  <si>
    <t>④ 地中熱ヒートポンプシステムの熱源・空調系統名の記入欄。計算シートから転記されるようになっている。</t>
    <phoneticPr fontId="1"/>
  </si>
  <si>
    <t>⑤ オープンループ型のタイプの記入欄。計算シートから転記されるようになっている。</t>
    <phoneticPr fontId="1"/>
  </si>
  <si>
    <r>
      <t>⑦ 地中熱ヒートポンプの暖房、冷房の定格能力</t>
    </r>
    <r>
      <rPr>
        <i/>
        <sz val="14"/>
        <rFont val="HG丸ｺﾞｼｯｸM-PRO"/>
        <family val="3"/>
        <charset val="128"/>
      </rPr>
      <t>Q</t>
    </r>
    <r>
      <rPr>
        <i/>
        <vertAlign val="subscript"/>
        <sz val="14"/>
        <rFont val="HG丸ｺﾞｼｯｸM-PRO"/>
        <family val="3"/>
        <charset val="128"/>
      </rPr>
      <t>h</t>
    </r>
    <r>
      <rPr>
        <sz val="14"/>
        <rFont val="HG丸ｺﾞｼｯｸM-PRO"/>
        <family val="3"/>
        <charset val="128"/>
      </rPr>
      <t>、</t>
    </r>
    <r>
      <rPr>
        <i/>
        <sz val="14"/>
        <rFont val="HG丸ｺﾞｼｯｸM-PRO"/>
        <family val="3"/>
        <charset val="128"/>
      </rPr>
      <t>Q</t>
    </r>
    <r>
      <rPr>
        <i/>
        <vertAlign val="subscript"/>
        <sz val="14"/>
        <rFont val="HG丸ｺﾞｼｯｸM-PRO"/>
        <family val="3"/>
        <charset val="128"/>
      </rPr>
      <t>c</t>
    </r>
    <r>
      <rPr>
        <sz val="14"/>
        <rFont val="HG丸ｺﾞｼｯｸM-PRO"/>
        <family val="3"/>
        <charset val="128"/>
      </rPr>
      <t>[kW]を入力する。</t>
    </r>
    <rPh sb="12" eb="14">
      <t>ダンボウ</t>
    </rPh>
    <rPh sb="15" eb="17">
      <t>レイボウ</t>
    </rPh>
    <phoneticPr fontId="31"/>
  </si>
  <si>
    <r>
      <t>⑧ 地中熱ヒートポンプの暖房、冷房の定格消費電力</t>
    </r>
    <r>
      <rPr>
        <i/>
        <sz val="14"/>
        <rFont val="HG丸ｺﾞｼｯｸM-PRO"/>
        <family val="3"/>
        <charset val="128"/>
      </rPr>
      <t>W</t>
    </r>
    <r>
      <rPr>
        <i/>
        <vertAlign val="subscript"/>
        <sz val="14"/>
        <rFont val="HG丸ｺﾞｼｯｸM-PRO"/>
        <family val="3"/>
        <charset val="128"/>
      </rPr>
      <t>h</t>
    </r>
    <r>
      <rPr>
        <sz val="14"/>
        <rFont val="HG丸ｺﾞｼｯｸM-PRO"/>
        <family val="3"/>
        <charset val="128"/>
      </rPr>
      <t>、</t>
    </r>
    <r>
      <rPr>
        <i/>
        <sz val="14"/>
        <rFont val="HG丸ｺﾞｼｯｸM-PRO"/>
        <family val="3"/>
        <charset val="128"/>
      </rPr>
      <t>W</t>
    </r>
    <r>
      <rPr>
        <i/>
        <vertAlign val="subscript"/>
        <sz val="14"/>
        <rFont val="HG丸ｺﾞｼｯｸM-PRO"/>
        <family val="3"/>
        <charset val="128"/>
      </rPr>
      <t>c</t>
    </r>
    <r>
      <rPr>
        <sz val="14"/>
        <rFont val="HG丸ｺﾞｼｯｸM-PRO"/>
        <family val="3"/>
        <charset val="128"/>
      </rPr>
      <t>[kW]を入力する。</t>
    </r>
    <rPh sb="12" eb="14">
      <t>ダンボウ</t>
    </rPh>
    <rPh sb="15" eb="17">
      <t>レイボウ</t>
    </rPh>
    <phoneticPr fontId="1"/>
  </si>
  <si>
    <r>
      <t>⑨ 地中熱ヒートポンプの熱源水入口・出口温度の設計値を暖房、冷房について入力する</t>
    </r>
    <r>
      <rPr>
        <sz val="14"/>
        <rFont val="HG丸ｺﾞｼｯｸM-PRO"/>
        <family val="3"/>
        <charset val="128"/>
      </rPr>
      <t>。</t>
    </r>
    <rPh sb="27" eb="29">
      <t>ダンボウ</t>
    </rPh>
    <rPh sb="30" eb="32">
      <t>レイボウ</t>
    </rPh>
    <phoneticPr fontId="1"/>
  </si>
  <si>
    <t>⑩ 揚水ポンプ、熱源水ポンプの定格消費電力、定格流量の記入欄。計算シートから転記されるようになっている。</t>
    <rPh sb="2" eb="4">
      <t>ヨウスイ</t>
    </rPh>
    <rPh sb="8" eb="10">
      <t>ネツゲン</t>
    </rPh>
    <rPh sb="10" eb="11">
      <t>スイ</t>
    </rPh>
    <rPh sb="15" eb="17">
      <t>テイカク</t>
    </rPh>
    <rPh sb="17" eb="19">
      <t>ショウヒ</t>
    </rPh>
    <rPh sb="19" eb="21">
      <t>デンリョク</t>
    </rPh>
    <rPh sb="22" eb="24">
      <t>テイカク</t>
    </rPh>
    <rPh sb="24" eb="26">
      <t>リュウリョウ</t>
    </rPh>
    <rPh sb="27" eb="30">
      <t>キニュウラン</t>
    </rPh>
    <rPh sb="31" eb="33">
      <t>ケイサン</t>
    </rPh>
    <rPh sb="38" eb="40">
      <t>テンキ</t>
    </rPh>
    <phoneticPr fontId="1"/>
  </si>
  <si>
    <r>
      <t>⑥ 設計揚水量</t>
    </r>
    <r>
      <rPr>
        <i/>
        <sz val="14"/>
        <rFont val="HG丸ｺﾞｼｯｸM-PRO"/>
        <family val="3"/>
        <charset val="128"/>
      </rPr>
      <t>V</t>
    </r>
    <r>
      <rPr>
        <i/>
        <vertAlign val="subscript"/>
        <sz val="14"/>
        <rFont val="HG丸ｺﾞｼｯｸM-PRO"/>
        <family val="3"/>
        <charset val="128"/>
      </rPr>
      <t>w</t>
    </r>
    <r>
      <rPr>
        <sz val="14"/>
        <rFont val="HG丸ｺﾞｼｯｸM-PRO"/>
        <family val="3"/>
        <charset val="128"/>
      </rPr>
      <t>を入力する。本シートの流量の単位は計算シートと同じとする。</t>
    </r>
    <rPh sb="2" eb="4">
      <t>セッケイ</t>
    </rPh>
    <rPh sb="4" eb="6">
      <t>ヨウスイ</t>
    </rPh>
    <rPh sb="6" eb="7">
      <t>リョウ</t>
    </rPh>
    <rPh sb="10" eb="12">
      <t>ニュウリョク</t>
    </rPh>
    <rPh sb="15" eb="16">
      <t>ホン</t>
    </rPh>
    <rPh sb="20" eb="22">
      <t>リュウリョウ</t>
    </rPh>
    <rPh sb="23" eb="25">
      <t>タンイ</t>
    </rPh>
    <rPh sb="26" eb="28">
      <t>ケイサン</t>
    </rPh>
    <rPh sb="32" eb="33">
      <t>オナ</t>
    </rPh>
    <phoneticPr fontId="31"/>
  </si>
  <si>
    <t>⑪ タイプD、E、Fについては、熱交換器の一次側流体(井水側)、二次側流体(地中熱ヒートポンプ側)の入口・出口温度の設計値を入力する。</t>
    <phoneticPr fontId="1"/>
  </si>
  <si>
    <t>○○事務所</t>
    <rPh sb="2" eb="5">
      <t>ジムショ</t>
    </rPh>
    <phoneticPr fontId="1"/>
  </si>
  <si>
    <r>
      <t>⑫ タイプB、Eについては、井水槽容量</t>
    </r>
    <r>
      <rPr>
        <i/>
        <sz val="14"/>
        <rFont val="HG丸ｺﾞｼｯｸM-PRO"/>
        <family val="3"/>
        <charset val="128"/>
      </rPr>
      <t>M</t>
    </r>
    <r>
      <rPr>
        <i/>
        <vertAlign val="subscript"/>
        <sz val="14"/>
        <rFont val="HG丸ｺﾞｼｯｸM-PRO"/>
        <family val="3"/>
        <charset val="128"/>
      </rPr>
      <t>wt</t>
    </r>
    <r>
      <rPr>
        <sz val="14"/>
        <rFont val="HG丸ｺﾞｼｯｸM-PRO"/>
        <family val="3"/>
        <charset val="128"/>
      </rPr>
      <t>[m</t>
    </r>
    <r>
      <rPr>
        <vertAlign val="superscript"/>
        <sz val="14"/>
        <rFont val="HG丸ｺﾞｼｯｸM-PRO"/>
        <family val="3"/>
        <charset val="128"/>
      </rPr>
      <t>3</t>
    </r>
    <r>
      <rPr>
        <sz val="14"/>
        <rFont val="HG丸ｺﾞｼｯｸM-PRO"/>
        <family val="3"/>
        <charset val="128"/>
      </rPr>
      <t>]の設計値及び暖冷房時の1日あたりの負荷時間を入力する。</t>
    </r>
  </si>
  <si>
    <t>⑬ タイプB、C、E、Fにおいて、井水槽が外気に開放された空間に設置されている場合には「○」を選択し、井水槽の断熱材の厚さ及び熱伝導率を入力する。</t>
    <rPh sb="17" eb="19">
      <t>イスイ</t>
    </rPh>
    <rPh sb="19" eb="20">
      <t>ソウ</t>
    </rPh>
    <rPh sb="21" eb="23">
      <t>ガイキ</t>
    </rPh>
    <rPh sb="24" eb="26">
      <t>カイホウ</t>
    </rPh>
    <rPh sb="29" eb="31">
      <t>クウカン</t>
    </rPh>
    <rPh sb="32" eb="34">
      <t>セッチ</t>
    </rPh>
    <rPh sb="39" eb="41">
      <t>バアイ</t>
    </rPh>
    <rPh sb="47" eb="49">
      <t>センタク</t>
    </rPh>
    <rPh sb="51" eb="53">
      <t>イスイ</t>
    </rPh>
    <rPh sb="53" eb="54">
      <t>ソウ</t>
    </rPh>
    <rPh sb="55" eb="58">
      <t>ダンネツザイ</t>
    </rPh>
    <rPh sb="59" eb="60">
      <t>アツ</t>
    </rPh>
    <rPh sb="61" eb="62">
      <t>オヨ</t>
    </rPh>
    <rPh sb="63" eb="67">
      <t>ネツデンドウリツ</t>
    </rPh>
    <rPh sb="68" eb="70">
      <t>ニュウリョク</t>
    </rPh>
    <phoneticPr fontId="1"/>
  </si>
  <si>
    <r>
      <t xml:space="preserve">  </t>
    </r>
    <r>
      <rPr>
        <sz val="11"/>
        <color theme="1"/>
        <rFont val="ＭＳ Ｐ明朝"/>
        <family val="1"/>
        <charset val="128"/>
      </rPr>
      <t>※附属書</t>
    </r>
    <r>
      <rPr>
        <sz val="11"/>
        <color theme="1"/>
        <rFont val="Times New Roman"/>
        <family val="1"/>
      </rPr>
      <t>H</t>
    </r>
    <r>
      <rPr>
        <sz val="11"/>
        <color theme="1"/>
        <rFont val="ＭＳ Ｐ明朝"/>
        <family val="1"/>
        <charset val="128"/>
      </rPr>
      <t>の確認方法に基づいた設計の妥当性を「</t>
    </r>
    <r>
      <rPr>
        <sz val="11"/>
        <color theme="1"/>
        <rFont val="Times New Roman"/>
        <family val="1"/>
      </rPr>
      <t>OK</t>
    </r>
    <r>
      <rPr>
        <sz val="11"/>
        <color theme="1"/>
        <rFont val="ＭＳ Ｐ明朝"/>
        <family val="1"/>
        <charset val="128"/>
      </rPr>
      <t>」であることをもって確認する。詳細は</t>
    </r>
    <r>
      <rPr>
        <sz val="11"/>
        <color theme="1"/>
        <rFont val="Times New Roman"/>
        <family val="1"/>
      </rPr>
      <t>2</t>
    </r>
    <r>
      <rPr>
        <sz val="11"/>
        <color theme="1"/>
        <rFont val="ＭＳ Ｐ明朝"/>
        <family val="1"/>
        <charset val="128"/>
      </rPr>
      <t>ページ目を参照のこと。</t>
    </r>
    <rPh sb="3" eb="5">
      <t>フゾク</t>
    </rPh>
    <rPh sb="51" eb="53">
      <t>サンショウ</t>
    </rPh>
    <phoneticPr fontId="1"/>
  </si>
  <si>
    <r>
      <rPr>
        <sz val="11"/>
        <color theme="1"/>
        <rFont val="ＭＳ Ｐ明朝"/>
        <family val="1"/>
        <charset val="128"/>
      </rPr>
      <t>※附属書</t>
    </r>
    <r>
      <rPr>
        <sz val="11"/>
        <color theme="1"/>
        <rFont val="Times New Roman"/>
        <family val="1"/>
      </rPr>
      <t>H</t>
    </r>
    <r>
      <rPr>
        <sz val="11"/>
        <color theme="1"/>
        <rFont val="ＭＳ Ｐ明朝"/>
        <family val="1"/>
        <charset val="128"/>
      </rPr>
      <t>の確認方法に基づき設計の妥当性を確認する。以下の項目がすべて「</t>
    </r>
    <r>
      <rPr>
        <sz val="11"/>
        <color theme="1"/>
        <rFont val="Times New Roman"/>
        <family val="1"/>
      </rPr>
      <t>OK</t>
    </r>
    <r>
      <rPr>
        <sz val="11"/>
        <color theme="1"/>
        <rFont val="ＭＳ Ｐ明朝"/>
        <family val="1"/>
        <charset val="128"/>
      </rPr>
      <t>」であることをもって確認する。</t>
    </r>
    <rPh sb="1" eb="4">
      <t>フゾクショ</t>
    </rPh>
    <rPh sb="6" eb="8">
      <t>カクニン</t>
    </rPh>
    <rPh sb="8" eb="10">
      <t>ホウホウ</t>
    </rPh>
    <rPh sb="11" eb="12">
      <t>モト</t>
    </rPh>
    <rPh sb="14" eb="16">
      <t>セッケイ</t>
    </rPh>
    <rPh sb="17" eb="20">
      <t>ダトウセイ</t>
    </rPh>
    <rPh sb="21" eb="23">
      <t>カクニン</t>
    </rPh>
    <rPh sb="26" eb="28">
      <t>イカ</t>
    </rPh>
    <rPh sb="29" eb="31">
      <t>コウモク</t>
    </rPh>
    <rPh sb="48" eb="50">
      <t>カクニン</t>
    </rPh>
    <phoneticPr fontId="1"/>
  </si>
  <si>
    <r>
      <rPr>
        <sz val="11"/>
        <rFont val="ＭＳ Ｐ明朝"/>
        <family val="1"/>
        <charset val="128"/>
      </rPr>
      <t>方式</t>
    </r>
    <rPh sb="0" eb="2">
      <t>ホウシキ</t>
    </rPh>
    <phoneticPr fontId="1"/>
  </si>
  <si>
    <r>
      <rPr>
        <sz val="11"/>
        <rFont val="ＭＳ Ｐ明朝"/>
        <family val="1"/>
        <charset val="128"/>
      </rPr>
      <t>井水槽温度補正値</t>
    </r>
    <r>
      <rPr>
        <sz val="11"/>
        <rFont val="Times New Roman"/>
        <family val="1"/>
      </rPr>
      <t>(</t>
    </r>
    <r>
      <rPr>
        <sz val="11"/>
        <rFont val="ＭＳ Ｐ明朝"/>
        <family val="1"/>
        <charset val="128"/>
      </rPr>
      <t>暖房</t>
    </r>
    <r>
      <rPr>
        <sz val="11"/>
        <rFont val="Times New Roman"/>
        <family val="1"/>
      </rPr>
      <t>)</t>
    </r>
    <rPh sb="0" eb="2">
      <t>イスイ</t>
    </rPh>
    <rPh sb="2" eb="3">
      <t>ソウ</t>
    </rPh>
    <rPh sb="3" eb="5">
      <t>オンド</t>
    </rPh>
    <rPh sb="5" eb="8">
      <t>ホセイチ</t>
    </rPh>
    <rPh sb="9" eb="11">
      <t>ダンボウ</t>
    </rPh>
    <phoneticPr fontId="1"/>
  </si>
  <si>
    <r>
      <rPr>
        <sz val="11"/>
        <rFont val="ＭＳ Ｐ明朝"/>
        <family val="1"/>
        <charset val="128"/>
      </rPr>
      <t>井水槽温度補正値</t>
    </r>
    <r>
      <rPr>
        <sz val="11"/>
        <rFont val="Times New Roman"/>
        <family val="1"/>
      </rPr>
      <t>(</t>
    </r>
    <r>
      <rPr>
        <sz val="11"/>
        <rFont val="ＭＳ Ｐ明朝"/>
        <family val="1"/>
        <charset val="128"/>
      </rPr>
      <t>冷房</t>
    </r>
    <r>
      <rPr>
        <sz val="11"/>
        <rFont val="Times New Roman"/>
        <family val="1"/>
      </rPr>
      <t>)</t>
    </r>
    <rPh sb="0" eb="2">
      <t>イスイ</t>
    </rPh>
    <rPh sb="2" eb="3">
      <t>ソウ</t>
    </rPh>
    <rPh sb="3" eb="5">
      <t>オンド</t>
    </rPh>
    <rPh sb="5" eb="8">
      <t>ホセイチ</t>
    </rPh>
    <rPh sb="9" eb="11">
      <t>レイボウ</t>
    </rPh>
    <phoneticPr fontId="1"/>
  </si>
  <si>
    <r>
      <rPr>
        <sz val="11"/>
        <rFont val="ＭＳ Ｐ明朝"/>
        <family val="1"/>
        <charset val="128"/>
      </rPr>
      <t>熱交換器温度補正値</t>
    </r>
    <r>
      <rPr>
        <sz val="11"/>
        <rFont val="Times New Roman"/>
        <family val="1"/>
      </rPr>
      <t>(</t>
    </r>
    <r>
      <rPr>
        <sz val="11"/>
        <rFont val="ＭＳ Ｐ明朝"/>
        <family val="1"/>
        <charset val="128"/>
      </rPr>
      <t>暖房</t>
    </r>
    <r>
      <rPr>
        <sz val="11"/>
        <rFont val="Times New Roman"/>
        <family val="1"/>
      </rPr>
      <t>)</t>
    </r>
    <rPh sb="0" eb="1">
      <t>ネツ</t>
    </rPh>
    <rPh sb="1" eb="4">
      <t>コウカンキ</t>
    </rPh>
    <rPh sb="4" eb="6">
      <t>オンド</t>
    </rPh>
    <rPh sb="6" eb="9">
      <t>ホセイチ</t>
    </rPh>
    <phoneticPr fontId="1"/>
  </si>
  <si>
    <r>
      <rPr>
        <sz val="11"/>
        <rFont val="ＭＳ Ｐ明朝"/>
        <family val="1"/>
        <charset val="128"/>
      </rPr>
      <t>熱交換器温度補正値</t>
    </r>
    <r>
      <rPr>
        <sz val="11"/>
        <rFont val="Times New Roman"/>
        <family val="1"/>
      </rPr>
      <t>(</t>
    </r>
    <r>
      <rPr>
        <sz val="11"/>
        <rFont val="ＭＳ Ｐ明朝"/>
        <family val="1"/>
        <charset val="128"/>
      </rPr>
      <t>冷房</t>
    </r>
    <r>
      <rPr>
        <sz val="11"/>
        <rFont val="Times New Roman"/>
        <family val="1"/>
      </rPr>
      <t>)</t>
    </r>
    <rPh sb="0" eb="1">
      <t>ネツ</t>
    </rPh>
    <rPh sb="1" eb="4">
      <t>コウカンキ</t>
    </rPh>
    <rPh sb="4" eb="6">
      <t>オンド</t>
    </rPh>
    <rPh sb="6" eb="9">
      <t>ホセイチ</t>
    </rPh>
    <rPh sb="10" eb="12">
      <t>レイボウ</t>
    </rPh>
    <phoneticPr fontId="1"/>
  </si>
  <si>
    <r>
      <rPr>
        <sz val="11"/>
        <rFont val="ＭＳ Ｐ明朝"/>
        <family val="1"/>
        <charset val="128"/>
      </rPr>
      <t>タイプ</t>
    </r>
    <r>
      <rPr>
        <sz val="11"/>
        <rFont val="Times New Roman"/>
        <family val="1"/>
      </rPr>
      <t>A</t>
    </r>
    <phoneticPr fontId="1"/>
  </si>
  <si>
    <r>
      <rPr>
        <sz val="11"/>
        <rFont val="ＭＳ Ｐ明朝"/>
        <family val="1"/>
        <charset val="128"/>
      </rPr>
      <t>タイプ</t>
    </r>
    <r>
      <rPr>
        <sz val="11"/>
        <rFont val="Times New Roman"/>
        <family val="1"/>
      </rPr>
      <t>B</t>
    </r>
    <phoneticPr fontId="1"/>
  </si>
  <si>
    <r>
      <rPr>
        <sz val="11"/>
        <rFont val="ＭＳ Ｐ明朝"/>
        <family val="1"/>
        <charset val="128"/>
      </rPr>
      <t>タイプ</t>
    </r>
    <r>
      <rPr>
        <sz val="11"/>
        <rFont val="Times New Roman"/>
        <family val="1"/>
      </rPr>
      <t>C</t>
    </r>
    <phoneticPr fontId="1"/>
  </si>
  <si>
    <r>
      <rPr>
        <sz val="11"/>
        <rFont val="ＭＳ Ｐ明朝"/>
        <family val="1"/>
        <charset val="128"/>
      </rPr>
      <t>タイプ</t>
    </r>
    <r>
      <rPr>
        <sz val="11"/>
        <rFont val="Times New Roman"/>
        <family val="1"/>
      </rPr>
      <t>D</t>
    </r>
    <phoneticPr fontId="1"/>
  </si>
  <si>
    <r>
      <rPr>
        <sz val="11"/>
        <rFont val="ＭＳ Ｐ明朝"/>
        <family val="1"/>
        <charset val="128"/>
      </rPr>
      <t>タイプ</t>
    </r>
    <r>
      <rPr>
        <sz val="11"/>
        <rFont val="Times New Roman"/>
        <family val="1"/>
      </rPr>
      <t>E</t>
    </r>
    <phoneticPr fontId="1"/>
  </si>
  <si>
    <r>
      <rPr>
        <sz val="11"/>
        <rFont val="ＭＳ Ｐ明朝"/>
        <family val="1"/>
        <charset val="128"/>
      </rPr>
      <t>タイプ</t>
    </r>
    <r>
      <rPr>
        <sz val="11"/>
        <rFont val="Times New Roman"/>
        <family val="1"/>
      </rPr>
      <t>F</t>
    </r>
    <phoneticPr fontId="1"/>
  </si>
  <si>
    <r>
      <rPr>
        <sz val="11"/>
        <rFont val="ＭＳ Ｐ明朝"/>
        <family val="1"/>
        <charset val="128"/>
      </rPr>
      <t>タイプ</t>
    </r>
    <r>
      <rPr>
        <sz val="11"/>
        <rFont val="Times New Roman"/>
        <family val="1"/>
      </rPr>
      <t>A</t>
    </r>
  </si>
  <si>
    <r>
      <rPr>
        <sz val="11"/>
        <rFont val="ＭＳ Ｐ明朝"/>
        <family val="1"/>
        <charset val="128"/>
      </rPr>
      <t>タイプ</t>
    </r>
    <r>
      <rPr>
        <sz val="11"/>
        <rFont val="Times New Roman"/>
        <family val="1"/>
      </rPr>
      <t>B</t>
    </r>
  </si>
  <si>
    <r>
      <rPr>
        <sz val="11"/>
        <rFont val="ＭＳ Ｐ明朝"/>
        <family val="1"/>
        <charset val="128"/>
      </rPr>
      <t>タイプ</t>
    </r>
    <r>
      <rPr>
        <sz val="11"/>
        <rFont val="Times New Roman"/>
        <family val="1"/>
      </rPr>
      <t>C</t>
    </r>
  </si>
  <si>
    <r>
      <rPr>
        <sz val="11"/>
        <rFont val="ＭＳ Ｐ明朝"/>
        <family val="1"/>
        <charset val="128"/>
      </rPr>
      <t>タイプ</t>
    </r>
    <r>
      <rPr>
        <sz val="11"/>
        <rFont val="Times New Roman"/>
        <family val="1"/>
      </rPr>
      <t>D</t>
    </r>
  </si>
  <si>
    <r>
      <rPr>
        <sz val="11"/>
        <rFont val="ＭＳ Ｐ明朝"/>
        <family val="1"/>
        <charset val="128"/>
      </rPr>
      <t>タイプ</t>
    </r>
    <r>
      <rPr>
        <sz val="11"/>
        <rFont val="Times New Roman"/>
        <family val="1"/>
      </rPr>
      <t>E</t>
    </r>
  </si>
  <si>
    <r>
      <rPr>
        <sz val="11"/>
        <rFont val="ＭＳ Ｐ明朝"/>
        <family val="1"/>
        <charset val="128"/>
      </rPr>
      <t>タイプ</t>
    </r>
    <r>
      <rPr>
        <sz val="11"/>
        <rFont val="Times New Roman"/>
        <family val="1"/>
      </rPr>
      <t>F</t>
    </r>
  </si>
  <si>
    <r>
      <rPr>
        <sz val="11"/>
        <rFont val="ＭＳ Ｐ明朝"/>
        <family val="1"/>
        <charset val="128"/>
      </rPr>
      <t>○</t>
    </r>
    <phoneticPr fontId="1"/>
  </si>
  <si>
    <t>⑮ 本シート2ページ目の計算過程における計算により、タイプに応じてみたすことが必要とされる各項目について妥当性が確認された場合にOKが表示される。</t>
    <rPh sb="2" eb="3">
      <t>ホン</t>
    </rPh>
    <rPh sb="10" eb="11">
      <t>メ</t>
    </rPh>
    <rPh sb="12" eb="14">
      <t>ケイサン</t>
    </rPh>
    <rPh sb="14" eb="16">
      <t>カテイ</t>
    </rPh>
    <rPh sb="20" eb="22">
      <t>ケイサン</t>
    </rPh>
    <rPh sb="30" eb="31">
      <t>オウ</t>
    </rPh>
    <rPh sb="39" eb="41">
      <t>ヒツヨウ</t>
    </rPh>
    <rPh sb="45" eb="46">
      <t>カク</t>
    </rPh>
    <rPh sb="46" eb="48">
      <t>コウモク</t>
    </rPh>
    <rPh sb="52" eb="55">
      <t>ダトウセイ</t>
    </rPh>
    <rPh sb="56" eb="58">
      <t>カクニン</t>
    </rPh>
    <rPh sb="61" eb="63">
      <t>バアイ</t>
    </rPh>
    <rPh sb="67" eb="69">
      <t>ヒョウジ</t>
    </rPh>
    <phoneticPr fontId="1"/>
  </si>
  <si>
    <t>⑯ 附属書Hの計算式による計算の過程が表示される。</t>
    <rPh sb="2" eb="5">
      <t>フゾクショ</t>
    </rPh>
    <rPh sb="7" eb="10">
      <t>ケイサンシキ</t>
    </rPh>
    <rPh sb="13" eb="15">
      <t>ケイサン</t>
    </rPh>
    <rPh sb="16" eb="18">
      <t>カテイ</t>
    </rPh>
    <rPh sb="19" eb="21">
      <t>ヒョウジ</t>
    </rPh>
    <phoneticPr fontId="1"/>
  </si>
  <si>
    <t>（４）入力方法と表示項目</t>
    <rPh sb="8" eb="10">
      <t>ヒョウジ</t>
    </rPh>
    <rPh sb="10" eb="12">
      <t>コウモク</t>
    </rPh>
    <phoneticPr fontId="1"/>
  </si>
  <si>
    <t>（４）入力方法と表示項目</t>
    <phoneticPr fontId="1"/>
  </si>
  <si>
    <t>※揚水試験結果に基づいて設定した設計揚水量を有効桁数3桁までで入力する。入力値の単位は熱源水ポンプ群合計消費電力計算シートと同じとすること。</t>
    <rPh sb="1" eb="3">
      <t>ヨウスイ</t>
    </rPh>
    <rPh sb="3" eb="5">
      <t>シケン</t>
    </rPh>
    <rPh sb="5" eb="7">
      <t>ケッカ</t>
    </rPh>
    <rPh sb="8" eb="9">
      <t>モト</t>
    </rPh>
    <rPh sb="12" eb="14">
      <t>セッテイ</t>
    </rPh>
    <rPh sb="16" eb="18">
      <t>セッケイ</t>
    </rPh>
    <rPh sb="18" eb="20">
      <t>ヨウスイ</t>
    </rPh>
    <rPh sb="20" eb="21">
      <t>リョウ</t>
    </rPh>
    <rPh sb="22" eb="24">
      <t>ユウコウ</t>
    </rPh>
    <rPh sb="24" eb="26">
      <t>ケタスウ</t>
    </rPh>
    <rPh sb="27" eb="28">
      <t>ケタ</t>
    </rPh>
    <rPh sb="31" eb="33">
      <t>ニュウリョク</t>
    </rPh>
    <rPh sb="36" eb="39">
      <t>ニュウリョクチ</t>
    </rPh>
    <rPh sb="40" eb="42">
      <t>タンイ</t>
    </rPh>
    <rPh sb="43" eb="45">
      <t>ネツゲン</t>
    </rPh>
    <rPh sb="45" eb="46">
      <t>スイ</t>
    </rPh>
    <rPh sb="49" eb="50">
      <t>グン</t>
    </rPh>
    <rPh sb="50" eb="52">
      <t>ゴウケイ</t>
    </rPh>
    <rPh sb="52" eb="54">
      <t>ショウヒ</t>
    </rPh>
    <rPh sb="54" eb="56">
      <t>デンリョク</t>
    </rPh>
    <rPh sb="56" eb="58">
      <t>ケイサン</t>
    </rPh>
    <rPh sb="62" eb="63">
      <t>オナ</t>
    </rPh>
    <phoneticPr fontId="1"/>
  </si>
  <si>
    <t>　具体的な入力方法、表示項目は次の通りです。文中の丸数字は図1中に記載した丸数字と対応しています。</t>
    <rPh sb="1" eb="4">
      <t>グタイｔケイアｎ</t>
    </rPh>
    <rPh sb="5" eb="7">
      <t>ニュウリョクホウホウヲ</t>
    </rPh>
    <rPh sb="7" eb="9">
      <t>ホウホウ</t>
    </rPh>
    <rPh sb="10" eb="12">
      <t>ヒョウジ</t>
    </rPh>
    <rPh sb="12" eb="14">
      <t>コウモク</t>
    </rPh>
    <rPh sb="15" eb="16">
      <t>ツギノトオリ</t>
    </rPh>
    <rPh sb="22" eb="24">
      <t>ブンチュウ</t>
    </rPh>
    <rPh sb="25" eb="28">
      <t>マルスウジ</t>
    </rPh>
    <phoneticPr fontId="31"/>
  </si>
  <si>
    <t>図2-1　「オープンループ型地中熱ヒートポンプシステムの設計チェックシート(Ver.1,0)」
1ページ目の記入例</t>
    <phoneticPr fontId="1"/>
  </si>
  <si>
    <t>　具体的な入力方法、表示項目は次の通りです。文中の丸数字は図2中に記載した丸数字と対応しています。</t>
    <rPh sb="1" eb="4">
      <t>グタイｔケイアｎ</t>
    </rPh>
    <rPh sb="5" eb="7">
      <t>ニュウリョクホウホウヲ</t>
    </rPh>
    <rPh sb="7" eb="9">
      <t>ホウホウ</t>
    </rPh>
    <rPh sb="10" eb="12">
      <t>ヒョウジ</t>
    </rPh>
    <rPh sb="12" eb="14">
      <t>コウモク</t>
    </rPh>
    <rPh sb="15" eb="16">
      <t>ツギノトオリ</t>
    </rPh>
    <rPh sb="22" eb="24">
      <t>ブンチュウ</t>
    </rPh>
    <rPh sb="25" eb="28">
      <t>マルスウジ</t>
    </rPh>
    <phoneticPr fontId="31"/>
  </si>
  <si>
    <t>図2-2　「オープンループ型地中熱ヒートポンプシステムの設計チェックシート(Ver.1,0)」
2ページ目の記入例</t>
    <phoneticPr fontId="1"/>
  </si>
  <si>
    <t>⑭ 本シート2ページ目の計算・確認により、附属書Hの確認方法に基づいた設計の妥当性が確認された場合にOKが表示される。</t>
    <rPh sb="2" eb="3">
      <t>ホン</t>
    </rPh>
    <rPh sb="10" eb="11">
      <t>メ</t>
    </rPh>
    <rPh sb="12" eb="14">
      <t>ケイサン</t>
    </rPh>
    <rPh sb="15" eb="17">
      <t>カクニン</t>
    </rPh>
    <rPh sb="21" eb="24">
      <t>フゾクショ</t>
    </rPh>
    <rPh sb="26" eb="28">
      <t>カクニン</t>
    </rPh>
    <rPh sb="28" eb="30">
      <t>ホウホウ</t>
    </rPh>
    <rPh sb="31" eb="32">
      <t>モト</t>
    </rPh>
    <rPh sb="35" eb="37">
      <t>セッケイ</t>
    </rPh>
    <rPh sb="38" eb="41">
      <t>ダトウセイ</t>
    </rPh>
    <rPh sb="42" eb="44">
      <t>カクニン</t>
    </rPh>
    <rPh sb="47" eb="49">
      <t>バアイ</t>
    </rPh>
    <rPh sb="53" eb="55">
      <t>ヒョウジ</t>
    </rPh>
    <phoneticPr fontId="1"/>
  </si>
  <si>
    <r>
      <rPr>
        <sz val="11"/>
        <color theme="1"/>
        <rFont val="ＭＳ Ｐ明朝"/>
        <family val="1"/>
        <charset val="128"/>
      </rPr>
      <t>【タイプ</t>
    </r>
    <r>
      <rPr>
        <sz val="11"/>
        <color theme="1"/>
        <rFont val="Times New Roman"/>
        <family val="1"/>
      </rPr>
      <t>B, C, E, F</t>
    </r>
    <r>
      <rPr>
        <sz val="11"/>
        <color theme="1"/>
        <rFont val="ＭＳ Ｐ明朝"/>
        <family val="1"/>
        <charset val="128"/>
      </rPr>
      <t>】【井水槽が外気に開放されている空間に設置】井水槽断熱材の熱抵抗は十分か</t>
    </r>
    <rPh sb="16" eb="18">
      <t>イスイ</t>
    </rPh>
    <rPh sb="18" eb="19">
      <t>ソウ</t>
    </rPh>
    <rPh sb="20" eb="22">
      <t>ガイキ</t>
    </rPh>
    <rPh sb="23" eb="25">
      <t>カイホウ</t>
    </rPh>
    <rPh sb="30" eb="32">
      <t>クウカン</t>
    </rPh>
    <rPh sb="33" eb="35">
      <t>セッチ</t>
    </rPh>
    <rPh sb="43" eb="44">
      <t>ネツ</t>
    </rPh>
    <rPh sb="44" eb="46">
      <t>テイコウ</t>
    </rPh>
    <rPh sb="47" eb="49">
      <t>ジュウブン</t>
    </rPh>
    <phoneticPr fontId="1"/>
  </si>
  <si>
    <t>　本シートの「二重枠」で囲まれたセルに、基本情報ならびに地中熱ヒートポンプシステムの諸元を入力します(一部、「熱源水ポンプ群合計消費電力計算シート(以下、計算シート)」から転記するよう設定されています。また、タイプによって入力が不要な項目はグレーアウトします)。入力にあたっては、本シートの「入力(選択)にあたっての注意事項」欄、表下の注意事項について確認してください。また、計算方法および「計算式」欄の計算式を確認し、検算することを推奨します。</t>
    <rPh sb="51" eb="53">
      <t>イチブ</t>
    </rPh>
    <rPh sb="92" eb="94">
      <t>セッテイ</t>
    </rPh>
    <rPh sb="111" eb="113">
      <t>ニュウリョク</t>
    </rPh>
    <rPh sb="114" eb="116">
      <t>フヨウ</t>
    </rPh>
    <rPh sb="117" eb="119">
      <t>コウモク</t>
    </rPh>
    <phoneticPr fontId="31"/>
  </si>
  <si>
    <t>② 作成日、入力者等の記入欄。以下、計算シートから転記されるようになっている。</t>
    <rPh sb="13" eb="14">
      <t>ラン</t>
    </rPh>
    <phoneticPr fontId="3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</si>
</sst>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8">
    <font>
      <sz val="11"/>
      <color theme="1"/>
      <name val="Yu Gothic"/>
      <family val="2"/>
      <scheme val="minor"/>
    </font>
    <font>
      <sz val="6"/>
      <name val="Yu Gothic"/>
      <family val="3"/>
      <charset val="128"/>
      <scheme val="minor"/>
    </font>
    <font>
      <sz val="11"/>
      <color theme="1"/>
      <name val="ＭＳ Ｐ明朝"/>
      <family val="1"/>
      <charset val="128"/>
    </font>
    <font>
      <sz val="11"/>
      <color theme="1"/>
      <name val="Times New Roman"/>
      <family val="1"/>
    </font>
    <font>
      <i/>
      <sz val="11"/>
      <color theme="1"/>
      <name val="Times New Roman"/>
      <family val="1"/>
    </font>
    <font>
      <b/>
      <sz val="11"/>
      <color theme="1"/>
      <name val="Times New Roman"/>
      <family val="1"/>
    </font>
    <font>
      <vertAlign val="subscript"/>
      <sz val="11"/>
      <color theme="1"/>
      <name val="Times New Roman"/>
      <family val="1"/>
    </font>
    <font>
      <i/>
      <vertAlign val="subscript"/>
      <sz val="11"/>
      <color theme="1"/>
      <name val="Times New Roman"/>
      <family val="1"/>
    </font>
    <font>
      <sz val="11"/>
      <color theme="1"/>
      <name val="Times New Roman"/>
      <family val="1"/>
      <charset val="128"/>
    </font>
    <font>
      <vertAlign val="superscript"/>
      <sz val="11"/>
      <color theme="1"/>
      <name val="Times New Roman"/>
      <family val="1"/>
    </font>
    <font>
      <sz val="11"/>
      <color theme="1"/>
      <name val="Symbol"/>
      <family val="1"/>
      <charset val="2"/>
    </font>
    <font>
      <sz val="14"/>
      <color theme="1"/>
      <name val="Times New Roman"/>
      <family val="1"/>
      <charset val="128"/>
    </font>
    <font>
      <sz val="14"/>
      <color theme="1"/>
      <name val="ＭＳ Ｐ明朝"/>
      <family val="1"/>
      <charset val="128"/>
    </font>
    <font>
      <sz val="14"/>
      <color theme="1"/>
      <name val="Times New Roman"/>
      <family val="1"/>
    </font>
    <font>
      <sz val="10"/>
      <color theme="1"/>
      <name val="ＭＳ Ｐ明朝"/>
      <family val="1"/>
      <charset val="128"/>
    </font>
    <font>
      <b/>
      <sz val="14"/>
      <color theme="1"/>
      <name val="Times New Roman"/>
      <family val="1"/>
    </font>
    <font>
      <sz val="10.5"/>
      <color theme="1"/>
      <name val="Times New Roman"/>
      <family val="1"/>
    </font>
    <font>
      <sz val="10.5"/>
      <color theme="1"/>
      <name val="Times New Roman"/>
      <family val="1"/>
      <charset val="128"/>
    </font>
    <font>
      <sz val="10.5"/>
      <color theme="1"/>
      <name val="ＭＳ Ｐ明朝"/>
      <family val="1"/>
      <charset val="128"/>
    </font>
    <font>
      <sz val="11"/>
      <color theme="0" tint="-0.249977111117893"/>
      <name val="Times New Roman"/>
      <family val="1"/>
      <charset val="128"/>
    </font>
    <font>
      <sz val="11"/>
      <color theme="0" tint="-0.249977111117893"/>
      <name val="Times New Roman"/>
      <family val="1"/>
    </font>
    <font>
      <sz val="11"/>
      <color theme="0" tint="-0.249977111117893"/>
      <name val="ＭＳ Ｐ明朝"/>
      <family val="1"/>
      <charset val="128"/>
    </font>
    <font>
      <i/>
      <sz val="11"/>
      <color theme="0" tint="-0.249977111117893"/>
      <name val="Times New Roman"/>
      <family val="1"/>
    </font>
    <font>
      <i/>
      <vertAlign val="subscript"/>
      <sz val="11"/>
      <color theme="0" tint="-0.249977111117893"/>
      <name val="Times New Roman"/>
      <family val="1"/>
    </font>
    <font>
      <sz val="14"/>
      <color theme="0" tint="-0.249977111117893"/>
      <name val="Times New Roman"/>
      <family val="1"/>
    </font>
    <font>
      <b/>
      <sz val="14"/>
      <color theme="0" tint="-0.249977111117893"/>
      <name val="Times New Roman"/>
      <family val="1"/>
    </font>
    <font>
      <sz val="18"/>
      <color theme="1"/>
      <name val="Times New Roman"/>
      <family val="1"/>
    </font>
    <font>
      <sz val="11"/>
      <color theme="0"/>
      <name val="Times New Roman"/>
      <family val="1"/>
    </font>
    <font>
      <sz val="11"/>
      <color theme="0"/>
      <name val="ＭＳ Ｐ明朝"/>
      <family val="1"/>
      <charset val="128"/>
    </font>
    <font>
      <sz val="11"/>
      <name val="ＭＳ Ｐゴシック"/>
      <family val="3"/>
      <charset val="128"/>
    </font>
    <font>
      <sz val="14"/>
      <name val="HG丸ｺﾞｼｯｸM-PRO"/>
      <family val="3"/>
      <charset val="128"/>
    </font>
    <font>
      <sz val="6"/>
      <name val="ＭＳ Ｐゴシック"/>
      <family val="3"/>
      <charset val="128"/>
    </font>
    <font>
      <i/>
      <sz val="14"/>
      <name val="HG丸ｺﾞｼｯｸM-PRO"/>
      <family val="3"/>
      <charset val="128"/>
    </font>
    <font>
      <i/>
      <vertAlign val="subscript"/>
      <sz val="14"/>
      <name val="HG丸ｺﾞｼｯｸM-PRO"/>
      <family val="3"/>
      <charset val="128"/>
    </font>
    <font>
      <vertAlign val="subscript"/>
      <sz val="14"/>
      <name val="HG丸ｺﾞｼｯｸM-PRO"/>
      <family val="3"/>
      <charset val="128"/>
    </font>
    <font>
      <vertAlign val="superscript"/>
      <sz val="14"/>
      <name val="HG丸ｺﾞｼｯｸM-PRO"/>
      <family val="3"/>
      <charset val="128"/>
    </font>
    <font>
      <sz val="11"/>
      <name val="Times New Roman"/>
      <family val="1"/>
    </font>
    <font>
      <sz val="11"/>
      <name val="ＭＳ Ｐ明朝"/>
      <family val="1"/>
      <charset val="128"/>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58">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double">
        <color auto="1"/>
      </left>
      <right style="double">
        <color auto="1"/>
      </right>
      <top style="double">
        <color auto="1"/>
      </top>
      <bottom style="double">
        <color auto="1"/>
      </bottom>
      <diagonal/>
    </border>
    <border>
      <left style="thin">
        <color theme="0"/>
      </left>
      <right style="thin">
        <color theme="0"/>
      </right>
      <top/>
      <bottom style="thin">
        <color theme="0"/>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thin">
        <color theme="0"/>
      </left>
      <right style="thin">
        <color theme="0"/>
      </right>
      <top style="thin">
        <color theme="0"/>
      </top>
      <bottom/>
      <diagonal/>
    </border>
    <border>
      <left style="thin">
        <color theme="0"/>
      </left>
      <right style="thin">
        <color theme="0"/>
      </right>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style="thin">
        <color auto="1"/>
      </right>
      <top/>
      <bottom/>
      <diagonal/>
    </border>
    <border>
      <left style="double">
        <color auto="1"/>
      </left>
      <right style="thin">
        <color auto="1"/>
      </right>
      <top style="double">
        <color auto="1"/>
      </top>
      <bottom style="double">
        <color auto="1"/>
      </bottom>
      <diagonal/>
    </border>
    <border>
      <left style="thin">
        <color auto="1"/>
      </left>
      <right style="double">
        <color auto="1"/>
      </right>
      <top style="double">
        <color auto="1"/>
      </top>
      <bottom style="double">
        <color auto="1"/>
      </bottom>
      <diagonal/>
    </border>
    <border>
      <left/>
      <right style="thin">
        <color auto="1"/>
      </right>
      <top style="thin">
        <color auto="1"/>
      </top>
      <bottom/>
      <diagonal/>
    </border>
    <border>
      <left/>
      <right/>
      <top style="thin">
        <color theme="1"/>
      </top>
      <bottom/>
      <diagonal/>
    </border>
    <border>
      <left/>
      <right style="thin">
        <color theme="1"/>
      </right>
      <top style="thin">
        <color theme="1"/>
      </top>
      <bottom/>
      <diagonal/>
    </border>
    <border>
      <left/>
      <right/>
      <top/>
      <bottom style="thin">
        <color theme="1"/>
      </bottom>
      <diagonal/>
    </border>
    <border>
      <left/>
      <right style="thin">
        <color theme="1"/>
      </right>
      <top/>
      <bottom style="thin">
        <color theme="1"/>
      </bottom>
      <diagonal/>
    </border>
    <border>
      <left/>
      <right style="thin">
        <color theme="1"/>
      </right>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theme="0"/>
      </left>
      <right style="thin">
        <color theme="0"/>
      </right>
      <top style="thin">
        <color auto="1"/>
      </top>
      <bottom style="thin">
        <color theme="0"/>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auto="1"/>
      </bottom>
      <diagonal/>
    </border>
    <border>
      <left/>
      <right/>
      <top style="thin">
        <color theme="0"/>
      </top>
      <bottom style="thin">
        <color auto="1"/>
      </bottom>
      <diagonal/>
    </border>
    <border>
      <left/>
      <right style="thin">
        <color theme="0"/>
      </right>
      <top style="thin">
        <color theme="0"/>
      </top>
      <bottom style="thin">
        <color auto="1"/>
      </bottom>
      <diagonal/>
    </border>
    <border>
      <left style="double">
        <color auto="1"/>
      </left>
      <right/>
      <top style="thin">
        <color auto="1"/>
      </top>
      <bottom style="thin">
        <color auto="1"/>
      </bottom>
      <diagonal/>
    </border>
    <border>
      <left style="thin">
        <color auto="1"/>
      </left>
      <right/>
      <top/>
      <bottom/>
      <diagonal/>
    </border>
    <border>
      <left/>
      <right style="thin">
        <color auto="1"/>
      </right>
      <top style="thin">
        <color theme="0"/>
      </top>
      <bottom style="thin">
        <color theme="0"/>
      </bottom>
      <diagonal/>
    </border>
    <border>
      <left/>
      <right style="thin">
        <color auto="1"/>
      </right>
      <top style="thin">
        <color theme="0"/>
      </top>
      <bottom style="thin">
        <color auto="1"/>
      </bottom>
      <diagonal/>
    </border>
    <border>
      <left/>
      <right/>
      <top style="thin">
        <color auto="1"/>
      </top>
      <bottom style="thin">
        <color theme="0"/>
      </bottom>
      <diagonal/>
    </border>
    <border>
      <left/>
      <right style="thin">
        <color auto="1"/>
      </right>
      <top style="thin">
        <color auto="1"/>
      </top>
      <bottom style="thin">
        <color theme="0"/>
      </bottom>
      <diagonal/>
    </border>
    <border>
      <left style="thin">
        <color auto="1"/>
      </left>
      <right style="thin">
        <color auto="1"/>
      </right>
      <top/>
      <bottom style="thin">
        <color auto="1"/>
      </bottom>
      <diagonal/>
    </border>
    <border>
      <left/>
      <right style="thin">
        <color theme="0"/>
      </right>
      <top/>
      <bottom/>
      <diagonal/>
    </border>
    <border>
      <left/>
      <right style="thin">
        <color theme="0"/>
      </right>
      <top/>
      <bottom style="thin">
        <color auto="1"/>
      </bottom>
      <diagonal/>
    </border>
    <border>
      <left style="thin">
        <color auto="1"/>
      </left>
      <right style="double">
        <color auto="1"/>
      </right>
      <top style="thin">
        <color auto="1"/>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n">
        <color theme="0"/>
      </bottom>
      <diagonal/>
    </border>
    <border>
      <left style="thin">
        <color theme="0"/>
      </left>
      <right/>
      <top/>
      <bottom style="thin">
        <color theme="0"/>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right/>
      <top style="thin">
        <color theme="0"/>
      </top>
      <bottom/>
      <diagonal/>
    </border>
  </borders>
  <cellStyleXfs count="2">
    <xf numFmtId="0" fontId="0" fillId="0" borderId="0"/>
    <xf numFmtId="0" fontId="29" fillId="0" borderId="0"/>
  </cellStyleXfs>
  <cellXfs count="201">
    <xf numFmtId="0" fontId="0" fillId="0" borderId="0" xfId="0"/>
    <xf numFmtId="0" fontId="3" fillId="0" borderId="9" xfId="0" applyFont="1" applyBorder="1" applyAlignment="1" applyProtection="1">
      <alignment horizontal="center" vertical="center"/>
      <protection locked="0"/>
    </xf>
    <xf numFmtId="0" fontId="13" fillId="0" borderId="9" xfId="0" applyFont="1" applyFill="1" applyBorder="1" applyAlignment="1" applyProtection="1">
      <alignment horizontal="center" vertical="center"/>
      <protection locked="0"/>
    </xf>
    <xf numFmtId="0" fontId="29" fillId="3" borderId="47" xfId="1" applyFill="1" applyBorder="1"/>
    <xf numFmtId="0" fontId="29" fillId="3" borderId="49" xfId="1" applyFill="1" applyBorder="1"/>
    <xf numFmtId="0" fontId="29" fillId="0" borderId="0" xfId="1"/>
    <xf numFmtId="0" fontId="29" fillId="3" borderId="50" xfId="1" applyFill="1" applyBorder="1"/>
    <xf numFmtId="0" fontId="30" fillId="3" borderId="0" xfId="1" applyFont="1" applyFill="1" applyAlignment="1">
      <alignment vertical="center" wrapText="1"/>
    </xf>
    <xf numFmtId="0" fontId="29" fillId="3" borderId="51" xfId="1" applyFill="1" applyBorder="1"/>
    <xf numFmtId="0" fontId="30" fillId="4" borderId="0" xfId="1" applyFont="1" applyFill="1" applyAlignment="1">
      <alignment vertical="center" wrapText="1"/>
    </xf>
    <xf numFmtId="0" fontId="30" fillId="3" borderId="10" xfId="1" applyFont="1" applyFill="1" applyBorder="1" applyAlignment="1">
      <alignment vertical="center" wrapText="1"/>
    </xf>
    <xf numFmtId="0" fontId="30" fillId="3" borderId="5" xfId="1" applyFont="1" applyFill="1" applyBorder="1" applyAlignment="1">
      <alignment vertical="center" wrapText="1"/>
    </xf>
    <xf numFmtId="0" fontId="29" fillId="3" borderId="8" xfId="1" applyFill="1" applyBorder="1"/>
    <xf numFmtId="0" fontId="29" fillId="3" borderId="6" xfId="1" applyFill="1" applyBorder="1"/>
    <xf numFmtId="0" fontId="30" fillId="3" borderId="5" xfId="1" applyFont="1" applyFill="1" applyBorder="1" applyAlignment="1">
      <alignment horizontal="center" vertical="center" wrapText="1"/>
    </xf>
    <xf numFmtId="0" fontId="29" fillId="0" borderId="8" xfId="1" applyBorder="1"/>
    <xf numFmtId="0" fontId="30" fillId="0" borderId="5" xfId="1" applyFont="1" applyBorder="1" applyAlignment="1">
      <alignment vertical="center" wrapText="1"/>
    </xf>
    <xf numFmtId="0" fontId="29" fillId="0" borderId="6" xfId="1" applyBorder="1"/>
    <xf numFmtId="0" fontId="29" fillId="0" borderId="5" xfId="1" applyBorder="1"/>
    <xf numFmtId="0" fontId="30" fillId="0" borderId="5" xfId="1" applyFont="1" applyBorder="1" applyAlignment="1">
      <alignment horizontal="center" vertical="center" wrapText="1"/>
    </xf>
    <xf numFmtId="0" fontId="30" fillId="0" borderId="0" xfId="1" applyFont="1" applyAlignment="1">
      <alignment vertical="center" wrapText="1"/>
    </xf>
    <xf numFmtId="0" fontId="30" fillId="3" borderId="48" xfId="1" applyFont="1" applyFill="1" applyBorder="1" applyAlignment="1">
      <alignment vertical="center" wrapText="1"/>
    </xf>
    <xf numFmtId="0" fontId="29" fillId="3" borderId="52" xfId="1" applyFill="1" applyBorder="1"/>
    <xf numFmtId="0" fontId="29" fillId="3" borderId="53" xfId="1" applyFill="1" applyBorder="1"/>
    <xf numFmtId="0" fontId="29" fillId="3" borderId="54" xfId="1" applyFill="1" applyBorder="1"/>
    <xf numFmtId="0" fontId="30" fillId="3" borderId="55" xfId="1" applyFont="1" applyFill="1" applyBorder="1" applyAlignment="1">
      <alignment vertical="center" wrapText="1"/>
    </xf>
    <xf numFmtId="0" fontId="29" fillId="3" borderId="56" xfId="1" applyFill="1" applyBorder="1"/>
    <xf numFmtId="0" fontId="30" fillId="3" borderId="0" xfId="0" applyFont="1" applyFill="1" applyAlignment="1">
      <alignment vertical="center" wrapText="1"/>
    </xf>
    <xf numFmtId="0" fontId="3" fillId="0" borderId="46" xfId="0" applyFont="1" applyBorder="1" applyAlignment="1" applyProtection="1">
      <alignment horizontal="center" vertical="center"/>
    </xf>
    <xf numFmtId="0" fontId="29" fillId="0" borderId="57" xfId="1" applyBorder="1"/>
    <xf numFmtId="0" fontId="30" fillId="0" borderId="57" xfId="1" applyFont="1" applyBorder="1" applyAlignment="1">
      <alignment vertical="center" wrapText="1"/>
    </xf>
    <xf numFmtId="0" fontId="29" fillId="0" borderId="0" xfId="1" applyBorder="1"/>
    <xf numFmtId="0" fontId="30" fillId="0" borderId="0" xfId="1" applyFont="1" applyBorder="1" applyAlignment="1">
      <alignment vertical="center" wrapText="1"/>
    </xf>
    <xf numFmtId="0" fontId="3" fillId="0" borderId="5" xfId="0" applyFont="1" applyBorder="1" applyAlignment="1" applyProtection="1">
      <alignment vertical="center"/>
    </xf>
    <xf numFmtId="0" fontId="3" fillId="0" borderId="5" xfId="0" applyFont="1" applyFill="1" applyBorder="1" applyAlignment="1" applyProtection="1">
      <alignment vertical="center"/>
    </xf>
    <xf numFmtId="0" fontId="27" fillId="0" borderId="5" xfId="0" applyFont="1" applyBorder="1" applyAlignment="1" applyProtection="1">
      <alignment vertical="center"/>
    </xf>
    <xf numFmtId="0" fontId="14" fillId="0" borderId="5" xfId="0" applyFont="1" applyBorder="1" applyAlignment="1" applyProtection="1">
      <alignment vertical="center"/>
    </xf>
    <xf numFmtId="0" fontId="28" fillId="0" borderId="5" xfId="0" applyFont="1" applyBorder="1" applyAlignment="1" applyProtection="1">
      <alignment vertical="center"/>
    </xf>
    <xf numFmtId="0" fontId="14" fillId="0" borderId="6" xfId="0" applyFont="1" applyBorder="1" applyAlignment="1" applyProtection="1">
      <alignment vertical="center"/>
    </xf>
    <xf numFmtId="0" fontId="3" fillId="0" borderId="8" xfId="0" applyFont="1" applyBorder="1" applyAlignment="1" applyProtection="1">
      <alignment vertical="center"/>
    </xf>
    <xf numFmtId="0" fontId="3" fillId="0" borderId="14" xfId="0" applyFont="1" applyBorder="1" applyAlignment="1" applyProtection="1">
      <alignment vertical="center"/>
    </xf>
    <xf numFmtId="0" fontId="3" fillId="0" borderId="14" xfId="0" applyFont="1" applyFill="1" applyBorder="1" applyAlignment="1" applyProtection="1">
      <alignment vertical="center"/>
    </xf>
    <xf numFmtId="0" fontId="3" fillId="0" borderId="15" xfId="0" applyFont="1" applyBorder="1" applyAlignment="1" applyProtection="1">
      <alignment vertical="center"/>
    </xf>
    <xf numFmtId="0" fontId="3" fillId="0" borderId="6" xfId="0" applyFont="1" applyBorder="1" applyAlignment="1" applyProtection="1">
      <alignment vertical="center"/>
    </xf>
    <xf numFmtId="0" fontId="3" fillId="0" borderId="10" xfId="0" applyFont="1" applyBorder="1" applyAlignment="1" applyProtection="1">
      <alignment vertical="center"/>
    </xf>
    <xf numFmtId="0" fontId="3" fillId="0" borderId="10" xfId="0" applyFont="1" applyFill="1" applyBorder="1" applyAlignment="1" applyProtection="1">
      <alignment vertical="center"/>
    </xf>
    <xf numFmtId="0" fontId="3" fillId="0" borderId="14" xfId="0" quotePrefix="1" applyFont="1" applyBorder="1" applyAlignment="1" applyProtection="1">
      <alignment vertical="center"/>
    </xf>
    <xf numFmtId="0" fontId="2" fillId="0" borderId="14" xfId="0" applyFont="1" applyBorder="1" applyAlignment="1" applyProtection="1">
      <alignment horizontal="right" vertical="center"/>
    </xf>
    <xf numFmtId="0" fontId="2" fillId="0" borderId="1" xfId="0" applyFont="1" applyBorder="1" applyAlignment="1" applyProtection="1">
      <alignment horizontal="center" vertical="center"/>
    </xf>
    <xf numFmtId="0" fontId="2" fillId="0" borderId="46" xfId="0" applyFont="1" applyBorder="1" applyAlignment="1" applyProtection="1">
      <alignment horizontal="center" vertical="center"/>
    </xf>
    <xf numFmtId="0" fontId="27" fillId="0" borderId="14" xfId="0" applyFont="1" applyBorder="1" applyAlignment="1" applyProtection="1">
      <alignment vertical="center"/>
    </xf>
    <xf numFmtId="0" fontId="27" fillId="0" borderId="10" xfId="0" applyFont="1" applyBorder="1" applyAlignment="1" applyProtection="1">
      <alignment vertical="center"/>
    </xf>
    <xf numFmtId="0" fontId="3" fillId="0" borderId="3"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32" xfId="0" applyFont="1" applyBorder="1" applyAlignment="1" applyProtection="1">
      <alignment vertical="center"/>
    </xf>
    <xf numFmtId="0" fontId="2" fillId="0" borderId="33" xfId="0" applyFont="1" applyBorder="1" applyAlignment="1" applyProtection="1">
      <alignment horizontal="left" vertical="center"/>
    </xf>
    <xf numFmtId="0" fontId="8" fillId="0" borderId="33" xfId="0" applyFont="1" applyBorder="1" applyAlignment="1" applyProtection="1">
      <alignment horizontal="right" vertical="center"/>
    </xf>
    <xf numFmtId="0" fontId="3" fillId="0" borderId="5" xfId="0" quotePrefix="1" applyFont="1" applyBorder="1" applyAlignment="1" applyProtection="1">
      <alignment vertical="center" wrapText="1"/>
    </xf>
    <xf numFmtId="0" fontId="5" fillId="0" borderId="5" xfId="0" applyFont="1" applyBorder="1" applyAlignment="1" applyProtection="1">
      <alignment vertical="center"/>
    </xf>
    <xf numFmtId="176" fontId="3" fillId="0" borderId="5" xfId="0" applyNumberFormat="1" applyFont="1" applyFill="1" applyBorder="1" applyAlignment="1" applyProtection="1">
      <alignment vertical="center"/>
    </xf>
    <xf numFmtId="177" fontId="3" fillId="0" borderId="5" xfId="0" applyNumberFormat="1" applyFont="1" applyFill="1" applyBorder="1" applyAlignment="1" applyProtection="1">
      <alignment vertical="center"/>
    </xf>
    <xf numFmtId="177" fontId="5" fillId="0" borderId="5" xfId="0" applyNumberFormat="1" applyFont="1" applyBorder="1" applyAlignment="1" applyProtection="1">
      <alignment horizontal="center" vertical="center"/>
    </xf>
    <xf numFmtId="0" fontId="3" fillId="0" borderId="5" xfId="0" applyFont="1" applyFill="1" applyBorder="1" applyAlignment="1" applyProtection="1">
      <alignment horizontal="right" vertical="center"/>
    </xf>
    <xf numFmtId="0" fontId="36" fillId="0" borderId="5" xfId="0" applyFont="1" applyBorder="1" applyAlignment="1" applyProtection="1">
      <alignment vertical="center"/>
    </xf>
    <xf numFmtId="0" fontId="2" fillId="0" borderId="27" xfId="0" applyFont="1" applyBorder="1" applyAlignment="1" applyProtection="1">
      <alignment horizontal="center" vertical="center"/>
    </xf>
    <xf numFmtId="0" fontId="3" fillId="0" borderId="18" xfId="0" quotePrefix="1" applyFont="1" applyBorder="1" applyAlignment="1" applyProtection="1">
      <alignment horizontal="center" vertical="center"/>
    </xf>
    <xf numFmtId="0" fontId="3" fillId="0" borderId="27" xfId="0" applyFont="1" applyBorder="1" applyAlignment="1" applyProtection="1">
      <alignment horizontal="center" vertical="center"/>
    </xf>
    <xf numFmtId="0" fontId="3" fillId="0" borderId="29" xfId="0" applyFont="1" applyBorder="1" applyAlignment="1" applyProtection="1">
      <alignment horizontal="center" vertical="center"/>
    </xf>
    <xf numFmtId="0" fontId="3" fillId="0" borderId="15" xfId="0" applyFont="1" applyFill="1" applyBorder="1" applyAlignment="1" applyProtection="1">
      <alignment vertical="center"/>
    </xf>
    <xf numFmtId="0" fontId="36" fillId="0" borderId="14" xfId="0" applyFont="1" applyBorder="1" applyAlignment="1" applyProtection="1">
      <alignment vertical="center"/>
    </xf>
    <xf numFmtId="0" fontId="2" fillId="0" borderId="5" xfId="0" applyFont="1" applyBorder="1" applyAlignment="1" applyProtection="1">
      <alignment vertical="center"/>
    </xf>
    <xf numFmtId="0" fontId="15" fillId="0" borderId="1" xfId="0" applyFont="1" applyFill="1" applyBorder="1" applyAlignment="1" applyProtection="1">
      <alignment horizontal="center" vertical="center"/>
    </xf>
    <xf numFmtId="0" fontId="36" fillId="0" borderId="10" xfId="0" applyFont="1" applyBorder="1" applyAlignment="1" applyProtection="1">
      <alignment vertical="center"/>
    </xf>
    <xf numFmtId="0" fontId="2" fillId="0" borderId="14" xfId="0" applyFont="1" applyBorder="1" applyAlignment="1" applyProtection="1">
      <alignment vertical="center"/>
    </xf>
    <xf numFmtId="0" fontId="8" fillId="0" borderId="14" xfId="0" applyFont="1" applyBorder="1" applyAlignment="1" applyProtection="1">
      <alignment horizontal="right" vertical="center"/>
    </xf>
    <xf numFmtId="177" fontId="15" fillId="0" borderId="1" xfId="0" applyNumberFormat="1" applyFont="1" applyFill="1" applyBorder="1" applyAlignment="1" applyProtection="1">
      <alignment horizontal="center" vertical="center"/>
    </xf>
    <xf numFmtId="0" fontId="3" fillId="0" borderId="1" xfId="0" quotePrefix="1" applyFont="1" applyBorder="1" applyAlignment="1" applyProtection="1">
      <alignment horizontal="center" vertical="center"/>
    </xf>
    <xf numFmtId="0" fontId="3" fillId="0" borderId="1" xfId="0" applyFont="1" applyBorder="1" applyAlignment="1" applyProtection="1">
      <alignment horizontal="center" vertical="center"/>
    </xf>
    <xf numFmtId="0" fontId="13" fillId="0" borderId="1" xfId="0" applyFont="1" applyFill="1" applyBorder="1" applyAlignment="1" applyProtection="1">
      <alignment horizontal="center" vertical="center"/>
    </xf>
    <xf numFmtId="0" fontId="13" fillId="0" borderId="1" xfId="0" applyNumberFormat="1" applyFont="1" applyFill="1" applyBorder="1" applyAlignment="1" applyProtection="1">
      <alignment horizontal="center" vertical="center"/>
    </xf>
    <xf numFmtId="0" fontId="3" fillId="0" borderId="1" xfId="0"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wrapText="1"/>
    </xf>
    <xf numFmtId="0" fontId="24" fillId="2" borderId="1" xfId="0" applyNumberFormat="1" applyFont="1" applyFill="1" applyBorder="1" applyAlignment="1" applyProtection="1">
      <alignment horizontal="center" vertical="center"/>
    </xf>
    <xf numFmtId="0" fontId="5" fillId="0" borderId="5" xfId="0" applyFont="1" applyFill="1" applyBorder="1" applyAlignment="1" applyProtection="1">
      <alignment horizontal="center" vertical="center"/>
    </xf>
    <xf numFmtId="0" fontId="3" fillId="0" borderId="5" xfId="0" applyFont="1" applyBorder="1" applyAlignment="1" applyProtection="1">
      <alignment horizontal="right" vertical="center"/>
    </xf>
    <xf numFmtId="177" fontId="3" fillId="0" borderId="5" xfId="0" applyNumberFormat="1" applyFont="1" applyFill="1" applyBorder="1" applyAlignment="1" applyProtection="1">
      <alignment horizontal="center" vertical="center"/>
    </xf>
    <xf numFmtId="0" fontId="37" fillId="0" borderId="5" xfId="0" applyFont="1" applyBorder="1" applyAlignment="1" applyProtection="1">
      <alignment vertical="center"/>
    </xf>
    <xf numFmtId="0" fontId="36" fillId="0" borderId="5" xfId="0" applyFont="1" applyFill="1" applyBorder="1" applyAlignment="1" applyProtection="1">
      <alignment vertical="center"/>
    </xf>
    <xf numFmtId="0" fontId="27" fillId="0" borderId="14" xfId="0" applyFont="1" applyBorder="1" applyAlignment="1" applyProtection="1">
      <alignment horizontal="center" vertical="center"/>
    </xf>
    <xf numFmtId="0" fontId="27" fillId="0" borderId="15" xfId="0" applyFont="1" applyBorder="1" applyAlignment="1" applyProtection="1">
      <alignment horizontal="center" vertical="center"/>
    </xf>
    <xf numFmtId="0" fontId="27" fillId="0" borderId="10" xfId="0" applyFont="1" applyBorder="1" applyAlignment="1" applyProtection="1">
      <alignment horizontal="center" vertical="center"/>
    </xf>
    <xf numFmtId="0" fontId="3" fillId="0" borderId="14" xfId="0" applyFont="1" applyBorder="1" applyAlignment="1" applyProtection="1">
      <alignment horizontal="center" vertical="center"/>
    </xf>
    <xf numFmtId="0" fontId="3" fillId="0" borderId="15" xfId="0" applyFont="1" applyBorder="1" applyAlignment="1" applyProtection="1">
      <alignment horizontal="center" vertical="center"/>
    </xf>
    <xf numFmtId="0" fontId="3" fillId="0" borderId="10" xfId="0" applyFont="1" applyBorder="1" applyAlignment="1" applyProtection="1">
      <alignment horizontal="center" vertical="center"/>
    </xf>
    <xf numFmtId="0" fontId="3" fillId="0" borderId="38"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44" xfId="0" applyFont="1" applyBorder="1" applyAlignment="1" applyProtection="1">
      <alignment horizontal="center" vertical="center"/>
    </xf>
    <xf numFmtId="0" fontId="3" fillId="0" borderId="29" xfId="0" applyFont="1" applyBorder="1" applyAlignment="1" applyProtection="1">
      <alignment horizontal="center" vertical="center"/>
    </xf>
    <xf numFmtId="0" fontId="3" fillId="0" borderId="30" xfId="0" applyFont="1" applyBorder="1" applyAlignment="1" applyProtection="1">
      <alignment horizontal="center" vertical="center"/>
    </xf>
    <xf numFmtId="0" fontId="3" fillId="0" borderId="45" xfId="0" applyFont="1" applyBorder="1" applyAlignment="1" applyProtection="1">
      <alignment horizontal="center" vertical="center"/>
    </xf>
    <xf numFmtId="0" fontId="3" fillId="0" borderId="1" xfId="0" applyFont="1" applyBorder="1" applyAlignment="1" applyProtection="1">
      <alignment horizontal="left" vertical="center"/>
    </xf>
    <xf numFmtId="0" fontId="3" fillId="0" borderId="18" xfId="0" applyFont="1" applyBorder="1" applyAlignment="1" applyProtection="1">
      <alignment horizontal="left" vertical="center"/>
    </xf>
    <xf numFmtId="0" fontId="8" fillId="0" borderId="1" xfId="0" applyFont="1" applyFill="1" applyBorder="1" applyAlignment="1" applyProtection="1">
      <alignment horizontal="left" vertical="center"/>
    </xf>
    <xf numFmtId="0" fontId="3" fillId="0" borderId="1" xfId="0" applyFont="1" applyFill="1" applyBorder="1" applyAlignment="1" applyProtection="1">
      <alignment horizontal="left" vertical="center"/>
    </xf>
    <xf numFmtId="0" fontId="3" fillId="0" borderId="7" xfId="0" quotePrefix="1" applyFont="1" applyBorder="1" applyAlignment="1" applyProtection="1">
      <alignment horizontal="center" vertical="center" wrapText="1"/>
    </xf>
    <xf numFmtId="0" fontId="3" fillId="0" borderId="39" xfId="0" quotePrefix="1" applyFont="1" applyBorder="1" applyAlignment="1" applyProtection="1">
      <alignment horizontal="center" vertical="center" wrapText="1"/>
    </xf>
    <xf numFmtId="0" fontId="3" fillId="0" borderId="35" xfId="0" quotePrefix="1" applyFont="1" applyBorder="1" applyAlignment="1" applyProtection="1">
      <alignment horizontal="center" vertical="center" wrapText="1"/>
    </xf>
    <xf numFmtId="0" fontId="3" fillId="0" borderId="40" xfId="0" quotePrefix="1" applyFont="1" applyBorder="1" applyAlignment="1" applyProtection="1">
      <alignment horizontal="center" vertical="center" wrapText="1"/>
    </xf>
    <xf numFmtId="0" fontId="3" fillId="0" borderId="43" xfId="0" applyFont="1" applyBorder="1" applyAlignment="1" applyProtection="1">
      <alignment horizontal="left" vertical="center"/>
    </xf>
    <xf numFmtId="0" fontId="2" fillId="0" borderId="1" xfId="0" applyFont="1" applyFill="1" applyBorder="1" applyAlignment="1" applyProtection="1">
      <alignment horizontal="left" vertical="center"/>
    </xf>
    <xf numFmtId="0" fontId="8" fillId="0" borderId="1" xfId="0" applyFont="1" applyBorder="1" applyAlignment="1" applyProtection="1">
      <alignment horizontal="left" vertical="center"/>
    </xf>
    <xf numFmtId="0" fontId="26" fillId="0" borderId="1" xfId="0" applyFont="1" applyFill="1" applyBorder="1" applyAlignment="1" applyProtection="1">
      <alignment horizontal="center" vertical="center"/>
    </xf>
    <xf numFmtId="0" fontId="3" fillId="0" borderId="4" xfId="0" applyFont="1" applyBorder="1" applyAlignment="1" applyProtection="1">
      <alignment horizontal="left" vertical="center" wrapText="1"/>
    </xf>
    <xf numFmtId="0" fontId="3" fillId="0" borderId="1" xfId="0" applyFont="1" applyBorder="1" applyAlignment="1" applyProtection="1">
      <alignment horizontal="left" vertical="center" wrapText="1"/>
    </xf>
    <xf numFmtId="0" fontId="2" fillId="0" borderId="1" xfId="0" applyFont="1" applyBorder="1" applyAlignment="1" applyProtection="1">
      <alignment horizontal="left" vertical="center"/>
    </xf>
    <xf numFmtId="0" fontId="2" fillId="0" borderId="16" xfId="0" applyFont="1" applyBorder="1" applyAlignment="1" applyProtection="1">
      <alignment horizontal="center" vertical="center"/>
    </xf>
    <xf numFmtId="0" fontId="2" fillId="0" borderId="3" xfId="0" applyFont="1" applyBorder="1" applyAlignment="1" applyProtection="1">
      <alignment horizontal="left" vertical="center"/>
    </xf>
    <xf numFmtId="0" fontId="2" fillId="0" borderId="17" xfId="0" applyFont="1" applyBorder="1" applyAlignment="1" applyProtection="1">
      <alignment horizontal="left" vertical="center"/>
    </xf>
    <xf numFmtId="0" fontId="2" fillId="0" borderId="4" xfId="0" applyFont="1" applyBorder="1" applyAlignment="1" applyProtection="1">
      <alignment horizontal="left" vertical="center"/>
    </xf>
    <xf numFmtId="0" fontId="26" fillId="0" borderId="9" xfId="0" applyFont="1" applyFill="1" applyBorder="1" applyAlignment="1" applyProtection="1">
      <alignment horizontal="center" vertical="center"/>
      <protection locked="0"/>
    </xf>
    <xf numFmtId="0" fontId="8" fillId="0" borderId="3" xfId="0" applyFont="1" applyBorder="1" applyAlignment="1" applyProtection="1">
      <alignment horizontal="left" vertical="center"/>
    </xf>
    <xf numFmtId="0" fontId="8" fillId="0" borderId="17" xfId="0" applyFont="1" applyBorder="1" applyAlignment="1" applyProtection="1">
      <alignment horizontal="left" vertical="center"/>
    </xf>
    <xf numFmtId="0" fontId="8" fillId="0" borderId="4" xfId="0" applyFont="1" applyBorder="1" applyAlignment="1" applyProtection="1">
      <alignment horizontal="left" vertical="center"/>
    </xf>
    <xf numFmtId="0" fontId="8" fillId="0" borderId="4" xfId="0" applyFont="1" applyBorder="1" applyAlignment="1" applyProtection="1">
      <alignment horizontal="left" vertical="center" wrapText="1"/>
    </xf>
    <xf numFmtId="0" fontId="3" fillId="0" borderId="3" xfId="0" applyFont="1" applyBorder="1" applyAlignment="1" applyProtection="1">
      <alignment horizontal="left" vertical="center"/>
    </xf>
    <xf numFmtId="0" fontId="3" fillId="0" borderId="17" xfId="0" applyFont="1" applyBorder="1" applyAlignment="1" applyProtection="1">
      <alignment horizontal="left" vertical="center"/>
    </xf>
    <xf numFmtId="0" fontId="3" fillId="0" borderId="4" xfId="0" applyFont="1" applyBorder="1" applyAlignment="1" applyProtection="1">
      <alignment horizontal="left" vertical="center"/>
    </xf>
    <xf numFmtId="0" fontId="26" fillId="0" borderId="11" xfId="0" applyFont="1" applyFill="1" applyBorder="1" applyAlignment="1" applyProtection="1">
      <alignment horizontal="center" vertical="center"/>
      <protection locked="0"/>
    </xf>
    <xf numFmtId="0" fontId="26" fillId="0" borderId="13" xfId="0" applyFont="1" applyFill="1" applyBorder="1" applyAlignment="1" applyProtection="1">
      <alignment horizontal="center" vertical="center"/>
      <protection locked="0"/>
    </xf>
    <xf numFmtId="0" fontId="2" fillId="0" borderId="41" xfId="0" quotePrefix="1" applyFont="1" applyBorder="1" applyAlignment="1" applyProtection="1">
      <alignment horizontal="left" vertical="center" wrapText="1"/>
    </xf>
    <xf numFmtId="0" fontId="2" fillId="0" borderId="42" xfId="0" quotePrefix="1" applyFont="1" applyBorder="1" applyAlignment="1" applyProtection="1">
      <alignment horizontal="left" vertical="center" wrapText="1"/>
    </xf>
    <xf numFmtId="0" fontId="11" fillId="0" borderId="6" xfId="0" applyFont="1" applyBorder="1" applyAlignment="1" applyProtection="1">
      <alignment horizontal="left" vertical="center" wrapText="1"/>
    </xf>
    <xf numFmtId="0" fontId="11" fillId="0" borderId="7" xfId="0" applyFont="1" applyBorder="1" applyAlignment="1" applyProtection="1">
      <alignment horizontal="left" vertical="center" wrapText="1"/>
    </xf>
    <xf numFmtId="0" fontId="11" fillId="0" borderId="8" xfId="0" applyFont="1" applyBorder="1" applyAlignment="1" applyProtection="1">
      <alignment horizontal="left" vertical="center" wrapText="1"/>
    </xf>
    <xf numFmtId="14" fontId="3" fillId="0" borderId="11" xfId="0" applyNumberFormat="1"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56" fontId="13" fillId="0" borderId="6" xfId="0" quotePrefix="1" applyNumberFormat="1" applyFont="1" applyBorder="1" applyAlignment="1" applyProtection="1">
      <alignment horizontal="center" vertical="center"/>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2" fillId="0" borderId="11" xfId="0" applyFont="1" applyBorder="1" applyAlignment="1" applyProtection="1">
      <alignment horizontal="center" vertical="center"/>
      <protection locked="0"/>
    </xf>
    <xf numFmtId="0" fontId="2" fillId="0" borderId="16" xfId="0" applyFont="1" applyBorder="1" applyAlignment="1" applyProtection="1">
      <alignment horizontal="left" vertical="center"/>
    </xf>
    <xf numFmtId="0" fontId="2" fillId="0" borderId="9"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2" fillId="0" borderId="1" xfId="0" applyFont="1" applyBorder="1" applyAlignment="1" applyProtection="1">
      <alignment horizontal="left" vertical="center" wrapText="1"/>
    </xf>
    <xf numFmtId="0" fontId="16" fillId="0" borderId="1" xfId="0" applyFont="1" applyBorder="1" applyAlignment="1" applyProtection="1">
      <alignment horizontal="left" vertical="center" wrapText="1"/>
    </xf>
    <xf numFmtId="0" fontId="19" fillId="2" borderId="1" xfId="0" applyFont="1" applyFill="1" applyBorder="1" applyAlignment="1" applyProtection="1">
      <alignment horizontal="left" vertical="center"/>
    </xf>
    <xf numFmtId="0" fontId="20" fillId="2" borderId="1" xfId="0" applyFont="1" applyFill="1" applyBorder="1" applyAlignment="1" applyProtection="1">
      <alignment horizontal="left" vertical="center" wrapText="1"/>
    </xf>
    <xf numFmtId="0" fontId="17" fillId="0" borderId="1" xfId="0" applyFont="1" applyBorder="1" applyAlignment="1" applyProtection="1">
      <alignment horizontal="left" vertical="center"/>
    </xf>
    <xf numFmtId="0" fontId="13" fillId="0" borderId="1" xfId="0" applyNumberFormat="1" applyFont="1" applyFill="1" applyBorder="1" applyAlignment="1" applyProtection="1">
      <alignment horizontal="center" vertical="center"/>
    </xf>
    <xf numFmtId="0" fontId="19" fillId="2" borderId="1" xfId="0" applyFont="1" applyFill="1" applyBorder="1" applyAlignment="1" applyProtection="1">
      <alignment horizontal="left" vertical="center" wrapText="1"/>
    </xf>
    <xf numFmtId="0" fontId="25" fillId="2" borderId="1" xfId="0" applyFont="1" applyFill="1" applyBorder="1" applyAlignment="1" applyProtection="1">
      <alignment horizontal="center" vertical="center"/>
    </xf>
    <xf numFmtId="0" fontId="20" fillId="2" borderId="1" xfId="0" applyFont="1" applyFill="1" applyBorder="1" applyAlignment="1" applyProtection="1">
      <alignment horizontal="left" vertical="center"/>
    </xf>
    <xf numFmtId="0" fontId="2" fillId="0" borderId="34" xfId="0" applyFont="1" applyBorder="1" applyAlignment="1" applyProtection="1">
      <alignment horizontal="right" vertical="center"/>
    </xf>
    <xf numFmtId="0" fontId="2" fillId="0" borderId="35" xfId="0" applyFont="1" applyBorder="1" applyAlignment="1" applyProtection="1">
      <alignment horizontal="right" vertical="center"/>
    </xf>
    <xf numFmtId="0" fontId="2" fillId="0" borderId="36" xfId="0" applyFont="1" applyBorder="1" applyAlignment="1" applyProtection="1">
      <alignment horizontal="right" vertical="center"/>
    </xf>
    <xf numFmtId="0" fontId="8" fillId="0" borderId="1" xfId="0" applyFont="1" applyBorder="1" applyAlignment="1" applyProtection="1">
      <alignment horizontal="left" vertical="center" wrapText="1"/>
    </xf>
    <xf numFmtId="0" fontId="15" fillId="0" borderId="1" xfId="0" applyFont="1" applyFill="1" applyBorder="1" applyAlignment="1" applyProtection="1">
      <alignment horizontal="center" vertical="center"/>
    </xf>
    <xf numFmtId="0" fontId="2" fillId="0" borderId="27" xfId="0" applyFont="1" applyBorder="1" applyAlignment="1" applyProtection="1">
      <alignment horizontal="left" vertical="center"/>
    </xf>
    <xf numFmtId="0" fontId="2" fillId="0" borderId="2" xfId="0" applyFont="1" applyBorder="1" applyAlignment="1" applyProtection="1">
      <alignment horizontal="left" vertical="center"/>
    </xf>
    <xf numFmtId="0" fontId="2" fillId="0" borderId="21" xfId="0" applyFont="1" applyBorder="1" applyAlignment="1" applyProtection="1">
      <alignment horizontal="left" vertical="center"/>
    </xf>
    <xf numFmtId="0" fontId="2" fillId="0" borderId="29" xfId="0" applyFont="1" applyBorder="1" applyAlignment="1" applyProtection="1">
      <alignment horizontal="left" vertical="center"/>
    </xf>
    <xf numFmtId="0" fontId="2" fillId="0" borderId="30" xfId="0" applyFont="1" applyBorder="1" applyAlignment="1" applyProtection="1">
      <alignment horizontal="left" vertical="center"/>
    </xf>
    <xf numFmtId="0" fontId="2" fillId="0" borderId="31" xfId="0" applyFont="1" applyBorder="1" applyAlignment="1" applyProtection="1">
      <alignment horizontal="left" vertical="center"/>
    </xf>
    <xf numFmtId="0" fontId="2"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13" fillId="0" borderId="1" xfId="0" applyFont="1" applyFill="1" applyBorder="1" applyAlignment="1" applyProtection="1">
      <alignment horizontal="center" vertical="center"/>
    </xf>
    <xf numFmtId="14" fontId="3" fillId="0" borderId="1" xfId="0" applyNumberFormat="1" applyFont="1" applyBorder="1" applyAlignment="1" applyProtection="1">
      <alignment horizontal="center" vertical="center"/>
    </xf>
    <xf numFmtId="0" fontId="2" fillId="0" borderId="1" xfId="0" applyFont="1" applyBorder="1" applyAlignment="1" applyProtection="1">
      <alignment horizontal="center" vertical="center"/>
    </xf>
    <xf numFmtId="0" fontId="13" fillId="0" borderId="9" xfId="0" applyFont="1" applyFill="1" applyBorder="1" applyAlignment="1" applyProtection="1">
      <alignment horizontal="center" vertical="center"/>
      <protection locked="0"/>
    </xf>
    <xf numFmtId="0" fontId="2" fillId="0" borderId="4" xfId="0" applyFont="1" applyBorder="1" applyAlignment="1" applyProtection="1">
      <alignment horizontal="left" vertical="center" wrapText="1"/>
    </xf>
    <xf numFmtId="0" fontId="12" fillId="0" borderId="9" xfId="0" applyFont="1" applyFill="1" applyBorder="1" applyAlignment="1" applyProtection="1">
      <alignment horizontal="center" vertical="center"/>
      <protection locked="0"/>
    </xf>
    <xf numFmtId="0" fontId="2" fillId="0" borderId="17"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3" fillId="0" borderId="17" xfId="0" quotePrefix="1" applyFont="1" applyBorder="1" applyAlignment="1" applyProtection="1">
      <alignment horizontal="left" vertical="center" wrapText="1"/>
    </xf>
    <xf numFmtId="0" fontId="3" fillId="0" borderId="4" xfId="0" quotePrefix="1" applyFont="1" applyBorder="1" applyAlignment="1" applyProtection="1">
      <alignment horizontal="left" vertical="center" wrapText="1"/>
    </xf>
    <xf numFmtId="0" fontId="3" fillId="0" borderId="37" xfId="0" applyFont="1" applyBorder="1" applyAlignment="1" applyProtection="1">
      <alignment horizontal="left" vertical="center" wrapText="1"/>
    </xf>
    <xf numFmtId="0" fontId="3" fillId="0" borderId="27" xfId="0" applyFont="1" applyBorder="1" applyAlignment="1" applyProtection="1">
      <alignment horizontal="left" vertical="center" wrapText="1"/>
    </xf>
    <xf numFmtId="0" fontId="3" fillId="0" borderId="2" xfId="0" applyFont="1" applyBorder="1" applyAlignment="1" applyProtection="1">
      <alignment horizontal="left" vertical="center" wrapText="1"/>
    </xf>
    <xf numFmtId="0" fontId="3" fillId="0" borderId="21"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0" fontId="3" fillId="0" borderId="28" xfId="0" applyFont="1" applyBorder="1" applyAlignment="1" applyProtection="1">
      <alignment horizontal="left" vertical="center" wrapText="1"/>
    </xf>
    <xf numFmtId="0" fontId="3" fillId="0" borderId="30" xfId="0" applyFont="1" applyBorder="1" applyAlignment="1" applyProtection="1">
      <alignment horizontal="left" vertical="center" wrapText="1"/>
    </xf>
    <xf numFmtId="0" fontId="3" fillId="0" borderId="31"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0" fontId="3" fillId="0" borderId="23" xfId="0" applyFont="1" applyBorder="1" applyAlignment="1" applyProtection="1">
      <alignment horizontal="left" vertical="center" wrapText="1"/>
    </xf>
    <xf numFmtId="0" fontId="3" fillId="0" borderId="26" xfId="0" applyFont="1" applyBorder="1" applyAlignment="1" applyProtection="1">
      <alignment horizontal="left" vertical="center" wrapText="1"/>
    </xf>
    <xf numFmtId="0" fontId="3" fillId="0" borderId="31" xfId="0" applyFont="1" applyBorder="1" applyAlignment="1" applyProtection="1">
      <alignment horizontal="left" vertical="center"/>
    </xf>
    <xf numFmtId="0" fontId="3" fillId="0" borderId="16" xfId="0" applyFont="1" applyBorder="1" applyAlignment="1" applyProtection="1">
      <alignment horizontal="left" vertical="center"/>
    </xf>
    <xf numFmtId="0" fontId="8" fillId="0" borderId="22" xfId="0" applyFont="1" applyBorder="1" applyAlignment="1" applyProtection="1">
      <alignment horizontal="left" vertical="center" wrapText="1"/>
    </xf>
    <xf numFmtId="0" fontId="3" fillId="0" borderId="24" xfId="0" applyFont="1" applyBorder="1" applyAlignment="1" applyProtection="1">
      <alignment horizontal="left" vertical="center" wrapText="1"/>
    </xf>
    <xf numFmtId="0" fontId="3" fillId="0" borderId="25" xfId="0" applyFont="1" applyBorder="1" applyAlignment="1" applyProtection="1">
      <alignment horizontal="left" vertical="center" wrapText="1"/>
    </xf>
    <xf numFmtId="0" fontId="11" fillId="0" borderId="19" xfId="0" applyFont="1" applyFill="1" applyBorder="1" applyAlignment="1" applyProtection="1">
      <alignment horizontal="center" vertical="center"/>
      <protection locked="0"/>
    </xf>
    <xf numFmtId="0" fontId="13" fillId="0" borderId="20" xfId="0" applyFont="1" applyFill="1" applyBorder="1" applyAlignment="1" applyProtection="1">
      <alignment horizontal="center" vertical="center"/>
      <protection locked="0"/>
    </xf>
    <xf numFmtId="0" fontId="2" fillId="0" borderId="17" xfId="0" quotePrefix="1" applyFont="1" applyBorder="1" applyAlignment="1" applyProtection="1">
      <alignment horizontal="left" vertical="center" wrapText="1"/>
    </xf>
    <xf numFmtId="0" fontId="2" fillId="0" borderId="4" xfId="0" quotePrefix="1" applyFont="1" applyBorder="1" applyAlignment="1" applyProtection="1">
      <alignment horizontal="left" vertical="center" wrapText="1"/>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13" fillId="0" borderId="11" xfId="0" applyFont="1" applyFill="1" applyBorder="1" applyAlignment="1" applyProtection="1">
      <alignment horizontal="center" vertical="center"/>
      <protection locked="0"/>
    </xf>
    <xf numFmtId="0" fontId="13" fillId="0" borderId="13" xfId="0" applyFont="1" applyFill="1" applyBorder="1" applyAlignment="1" applyProtection="1">
      <alignment horizontal="center" vertical="center"/>
      <protection locked="0"/>
    </xf>
  </cellXfs>
  <cellStyles count="2">
    <cellStyle name="標準" xfId="0" builtinId="0"/>
    <cellStyle name="標準 2" xfId="1" xr:uid="{AD9B13B8-466C-4AB9-B75E-78043F99971D}"/>
  </cellStyles>
  <dxfs count="38">
    <dxf>
      <font>
        <strike val="0"/>
        <color theme="0"/>
      </font>
      <fill>
        <patternFill>
          <bgColor rgb="FFFF0000"/>
        </patternFill>
      </fill>
    </dxf>
    <dxf>
      <font>
        <color theme="0" tint="-0.499984740745262"/>
      </font>
      <fill>
        <patternFill>
          <bgColor theme="0" tint="-0.499984740745262"/>
        </patternFill>
      </fill>
    </dxf>
    <dxf>
      <font>
        <color theme="0" tint="-0.499984740745262"/>
      </font>
      <fill>
        <patternFill>
          <bgColor theme="0" tint="-0.499984740745262"/>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color theme="0" tint="-0.499984740745262"/>
      </font>
      <fill>
        <patternFill>
          <bgColor theme="0" tint="-0.499984740745262"/>
        </patternFill>
      </fill>
    </dxf>
    <dxf>
      <font>
        <color theme="0" tint="-0.499984740745262"/>
      </font>
      <fill>
        <patternFill>
          <bgColor theme="0" tint="-0.499984740745262"/>
        </patternFill>
      </fill>
    </dxf>
    <dxf>
      <font>
        <strike val="0"/>
        <color theme="0"/>
      </font>
      <fill>
        <patternFill>
          <bgColor rgb="FFFF0000"/>
        </patternFill>
      </fill>
    </dxf>
    <dxf>
      <font>
        <color theme="0" tint="-0.499984740745262"/>
      </font>
      <fill>
        <patternFill>
          <bgColor theme="0" tint="-0.499984740745262"/>
        </patternFill>
      </fill>
    </dxf>
    <dxf>
      <font>
        <color theme="0" tint="-0.499984740745262"/>
      </font>
      <fill>
        <patternFill>
          <bgColor theme="0" tint="-0.499984740745262"/>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strike val="0"/>
        <color theme="0"/>
      </font>
      <fill>
        <patternFill>
          <bgColor rgb="FFFF0000"/>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7" Type="http://schemas.openxmlformats.org/officeDocument/2006/relationships/image" Target="../media/image9.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1" Type="http://schemas.openxmlformats.org/officeDocument/2006/relationships/image" Target="../media/image11.emf"/></Relationships>
</file>

<file path=xl/drawings/_rels/drawing6.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1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8.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55</xdr:col>
      <xdr:colOff>291210</xdr:colOff>
      <xdr:row>10</xdr:row>
      <xdr:rowOff>157740</xdr:rowOff>
    </xdr:from>
    <xdr:to>
      <xdr:col>61</xdr:col>
      <xdr:colOff>567084</xdr:colOff>
      <xdr:row>18</xdr:row>
      <xdr:rowOff>5403</xdr:rowOff>
    </xdr:to>
    <xdr:pic>
      <xdr:nvPicPr>
        <xdr:cNvPr id="28" name="図 27">
          <a:extLst>
            <a:ext uri="{FF2B5EF4-FFF2-40B4-BE49-F238E27FC236}">
              <a16:creationId xmlns:a16="http://schemas.microsoft.com/office/drawing/2014/main" id="{BF4F82FC-08F3-45C2-90A6-01E473CFC193}"/>
            </a:ext>
          </a:extLst>
        </xdr:cNvPr>
        <xdr:cNvPicPr>
          <a:picLocks noChangeAspect="1"/>
        </xdr:cNvPicPr>
      </xdr:nvPicPr>
      <xdr:blipFill>
        <a:blip xmlns:r="http://schemas.openxmlformats.org/officeDocument/2006/relationships" r:embed="rId1"/>
        <a:stretch>
          <a:fillRect/>
        </a:stretch>
      </xdr:blipFill>
      <xdr:spPr>
        <a:xfrm>
          <a:off x="36053439" y="3789778"/>
          <a:ext cx="4280014" cy="4377600"/>
        </a:xfrm>
        <a:prstGeom prst="rect">
          <a:avLst/>
        </a:prstGeom>
      </xdr:spPr>
    </xdr:pic>
    <xdr:clientData/>
  </xdr:twoCellAnchor>
  <xdr:twoCellAnchor editAs="oneCell">
    <xdr:from>
      <xdr:col>48</xdr:col>
      <xdr:colOff>299301</xdr:colOff>
      <xdr:row>10</xdr:row>
      <xdr:rowOff>161784</xdr:rowOff>
    </xdr:from>
    <xdr:to>
      <xdr:col>54</xdr:col>
      <xdr:colOff>575174</xdr:colOff>
      <xdr:row>18</xdr:row>
      <xdr:rowOff>9447</xdr:rowOff>
    </xdr:to>
    <xdr:pic>
      <xdr:nvPicPr>
        <xdr:cNvPr id="27" name="図 26">
          <a:extLst>
            <a:ext uri="{FF2B5EF4-FFF2-40B4-BE49-F238E27FC236}">
              <a16:creationId xmlns:a16="http://schemas.microsoft.com/office/drawing/2014/main" id="{9A48D08F-0DCE-4656-B795-C04F54362504}"/>
            </a:ext>
          </a:extLst>
        </xdr:cNvPr>
        <xdr:cNvPicPr>
          <a:picLocks noChangeAspect="1"/>
        </xdr:cNvPicPr>
      </xdr:nvPicPr>
      <xdr:blipFill>
        <a:blip xmlns:r="http://schemas.openxmlformats.org/officeDocument/2006/relationships" r:embed="rId2"/>
        <a:stretch>
          <a:fillRect/>
        </a:stretch>
      </xdr:blipFill>
      <xdr:spPr>
        <a:xfrm>
          <a:off x="31390033" y="3793822"/>
          <a:ext cx="4280014" cy="4377600"/>
        </a:xfrm>
        <a:prstGeom prst="rect">
          <a:avLst/>
        </a:prstGeom>
      </xdr:spPr>
    </xdr:pic>
    <xdr:clientData/>
  </xdr:twoCellAnchor>
  <xdr:twoCellAnchor editAs="oneCell">
    <xdr:from>
      <xdr:col>41</xdr:col>
      <xdr:colOff>299301</xdr:colOff>
      <xdr:row>10</xdr:row>
      <xdr:rowOff>424682</xdr:rowOff>
    </xdr:from>
    <xdr:to>
      <xdr:col>47</xdr:col>
      <xdr:colOff>259122</xdr:colOff>
      <xdr:row>18</xdr:row>
      <xdr:rowOff>2345</xdr:rowOff>
    </xdr:to>
    <xdr:pic>
      <xdr:nvPicPr>
        <xdr:cNvPr id="25" name="図 24">
          <a:extLst>
            <a:ext uri="{FF2B5EF4-FFF2-40B4-BE49-F238E27FC236}">
              <a16:creationId xmlns:a16="http://schemas.microsoft.com/office/drawing/2014/main" id="{5011D90C-01C4-4E48-97D7-42F7F088AA25}"/>
            </a:ext>
          </a:extLst>
        </xdr:cNvPr>
        <xdr:cNvPicPr>
          <a:picLocks noChangeAspect="1"/>
        </xdr:cNvPicPr>
      </xdr:nvPicPr>
      <xdr:blipFill>
        <a:blip xmlns:r="http://schemas.openxmlformats.org/officeDocument/2006/relationships" r:embed="rId3"/>
        <a:stretch>
          <a:fillRect/>
        </a:stretch>
      </xdr:blipFill>
      <xdr:spPr>
        <a:xfrm>
          <a:off x="26718537" y="4056720"/>
          <a:ext cx="3963961" cy="4107600"/>
        </a:xfrm>
        <a:prstGeom prst="rect">
          <a:avLst/>
        </a:prstGeom>
      </xdr:spPr>
    </xdr:pic>
    <xdr:clientData/>
  </xdr:twoCellAnchor>
  <xdr:twoCellAnchor editAs="oneCell">
    <xdr:from>
      <xdr:col>34</xdr:col>
      <xdr:colOff>295255</xdr:colOff>
      <xdr:row>10</xdr:row>
      <xdr:rowOff>481306</xdr:rowOff>
    </xdr:from>
    <xdr:to>
      <xdr:col>40</xdr:col>
      <xdr:colOff>267451</xdr:colOff>
      <xdr:row>18</xdr:row>
      <xdr:rowOff>4969</xdr:rowOff>
    </xdr:to>
    <xdr:pic>
      <xdr:nvPicPr>
        <xdr:cNvPr id="24" name="図 23">
          <a:extLst>
            <a:ext uri="{FF2B5EF4-FFF2-40B4-BE49-F238E27FC236}">
              <a16:creationId xmlns:a16="http://schemas.microsoft.com/office/drawing/2014/main" id="{F89DC33F-58A4-4A0A-8DBA-BB187D247F6F}"/>
            </a:ext>
          </a:extLst>
        </xdr:cNvPr>
        <xdr:cNvPicPr>
          <a:picLocks noChangeAspect="1"/>
        </xdr:cNvPicPr>
      </xdr:nvPicPr>
      <xdr:blipFill>
        <a:blip xmlns:r="http://schemas.openxmlformats.org/officeDocument/2006/relationships" r:embed="rId4"/>
        <a:stretch>
          <a:fillRect/>
        </a:stretch>
      </xdr:blipFill>
      <xdr:spPr>
        <a:xfrm>
          <a:off x="22042994" y="4113344"/>
          <a:ext cx="3976336" cy="4053600"/>
        </a:xfrm>
        <a:prstGeom prst="rect">
          <a:avLst/>
        </a:prstGeom>
      </xdr:spPr>
    </xdr:pic>
    <xdr:clientData/>
  </xdr:twoCellAnchor>
  <xdr:twoCellAnchor editAs="oneCell">
    <xdr:from>
      <xdr:col>27</xdr:col>
      <xdr:colOff>295777</xdr:colOff>
      <xdr:row>10</xdr:row>
      <xdr:rowOff>545319</xdr:rowOff>
    </xdr:from>
    <xdr:to>
      <xdr:col>33</xdr:col>
      <xdr:colOff>85067</xdr:colOff>
      <xdr:row>18</xdr:row>
      <xdr:rowOff>997</xdr:rowOff>
    </xdr:to>
    <xdr:pic>
      <xdr:nvPicPr>
        <xdr:cNvPr id="17" name="図 16">
          <a:extLst>
            <a:ext uri="{FF2B5EF4-FFF2-40B4-BE49-F238E27FC236}">
              <a16:creationId xmlns:a16="http://schemas.microsoft.com/office/drawing/2014/main" id="{6A8E4A5D-AD6C-4F03-B248-B4FC633B2211}"/>
            </a:ext>
          </a:extLst>
        </xdr:cNvPr>
        <xdr:cNvPicPr>
          <a:picLocks noChangeAspect="1"/>
        </xdr:cNvPicPr>
      </xdr:nvPicPr>
      <xdr:blipFill>
        <a:blip xmlns:r="http://schemas.openxmlformats.org/officeDocument/2006/relationships" r:embed="rId5"/>
        <a:stretch>
          <a:fillRect/>
        </a:stretch>
      </xdr:blipFill>
      <xdr:spPr>
        <a:xfrm>
          <a:off x="17373935" y="4171503"/>
          <a:ext cx="3783106" cy="3976505"/>
        </a:xfrm>
        <a:prstGeom prst="rect">
          <a:avLst/>
        </a:prstGeom>
      </xdr:spPr>
    </xdr:pic>
    <xdr:clientData/>
  </xdr:twoCellAnchor>
  <xdr:twoCellAnchor editAs="oneCell">
    <xdr:from>
      <xdr:col>20</xdr:col>
      <xdr:colOff>310127</xdr:colOff>
      <xdr:row>11</xdr:row>
      <xdr:rowOff>38126</xdr:rowOff>
    </xdr:from>
    <xdr:to>
      <xdr:col>26</xdr:col>
      <xdr:colOff>91506</xdr:colOff>
      <xdr:row>18</xdr:row>
      <xdr:rowOff>19515</xdr:rowOff>
    </xdr:to>
    <xdr:pic>
      <xdr:nvPicPr>
        <xdr:cNvPr id="18" name="図 17">
          <a:extLst>
            <a:ext uri="{FF2B5EF4-FFF2-40B4-BE49-F238E27FC236}">
              <a16:creationId xmlns:a16="http://schemas.microsoft.com/office/drawing/2014/main" id="{259BF127-074A-418F-AC87-014278469327}"/>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718027" y="4229126"/>
          <a:ext cx="3781879" cy="3937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30</xdr:row>
      <xdr:rowOff>28863</xdr:rowOff>
    </xdr:from>
    <xdr:to>
      <xdr:col>16</xdr:col>
      <xdr:colOff>0</xdr:colOff>
      <xdr:row>34</xdr:row>
      <xdr:rowOff>209261</xdr:rowOff>
    </xdr:to>
    <xdr:sp macro="" textlink="">
      <xdr:nvSpPr>
        <xdr:cNvPr id="3" name="テキスト ボックス 2">
          <a:extLst>
            <a:ext uri="{FF2B5EF4-FFF2-40B4-BE49-F238E27FC236}">
              <a16:creationId xmlns:a16="http://schemas.microsoft.com/office/drawing/2014/main" id="{3B4A09F3-5616-4C75-919D-D3298E511198}"/>
            </a:ext>
          </a:extLst>
        </xdr:cNvPr>
        <xdr:cNvSpPr txBox="1"/>
      </xdr:nvSpPr>
      <xdr:spPr>
        <a:xfrm>
          <a:off x="82550" y="13973463"/>
          <a:ext cx="10274300" cy="15011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本シートの使用にあたっては、以下の注意事項を確認し、承諾したものとみなします</a:t>
          </a:r>
          <a:r>
            <a:rPr kumimoji="1" lang="en-US" altLang="ja-JP" sz="1050">
              <a:latin typeface="ＭＳ Ｐ明朝" panose="02020600040205080304" pitchFamily="18" charset="-128"/>
              <a:ea typeface="ＭＳ Ｐ明朝" panose="02020600040205080304" pitchFamily="18" charset="-128"/>
            </a:rPr>
            <a:t>】</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「二重枠」に囲まれたセルにオープンループ型地中熱ヒートポンプシステムの諸元を入力することで、熱源水ポンプ群の合計消費電力を計算できます。</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オープンループのタイプによって入力・計算等が不要なセルはグレーアウトします。また、赤色のセルが出る場合は入力が適切でありません。確認してください。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本シートは、地中熱ヒートポンプシステムの諸元を確認できる図面資料等と揃えてまとめて提出することで、審査の簡略化を図ることを意図して作成しています。</a:t>
          </a:r>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算定結果の正しさを保証するものではありませんので、使用者の責任において使用してください。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入力する数値の桁数は、右側の注意事項を確認して入力してください。指定の桁数を超えて入力しても、計算には反映されません。</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本シートの使用にあたり操作が不要なセルについては、誤操作を防止するために「ロック」をかけています。ロックは「</a:t>
          </a:r>
          <a:r>
            <a:rPr kumimoji="1" lang="en-US" altLang="ja-JP" sz="1050">
              <a:latin typeface="ＭＳ Ｐ明朝" panose="02020600040205080304" pitchFamily="18" charset="-128"/>
              <a:ea typeface="ＭＳ Ｐ明朝" panose="02020600040205080304" pitchFamily="18" charset="-128"/>
            </a:rPr>
            <a:t>gshp2020</a:t>
          </a:r>
          <a:r>
            <a:rPr kumimoji="1" lang="ja-JP" altLang="en-US" sz="1050">
              <a:latin typeface="ＭＳ Ｐ明朝" panose="02020600040205080304" pitchFamily="18" charset="-128"/>
              <a:ea typeface="ＭＳ Ｐ明朝" panose="02020600040205080304" pitchFamily="18" charset="-128"/>
            </a:rPr>
            <a:t>」で解除できます。</a:t>
          </a:r>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解除後にセル内の数式を変更しますと正しい計算ができなくなることがありますので、ご注意ください。</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153940</xdr:colOff>
          <xdr:row>10</xdr:row>
          <xdr:rowOff>0</xdr:rowOff>
        </xdr:from>
        <xdr:to>
          <xdr:col>15</xdr:col>
          <xdr:colOff>788940</xdr:colOff>
          <xdr:row>18</xdr:row>
          <xdr:rowOff>6350</xdr:rowOff>
        </xdr:to>
        <xdr:pic>
          <xdr:nvPicPr>
            <xdr:cNvPr id="26" name="図 25">
              <a:extLst>
                <a:ext uri="{FF2B5EF4-FFF2-40B4-BE49-F238E27FC236}">
                  <a16:creationId xmlns:a16="http://schemas.microsoft.com/office/drawing/2014/main" id="{44162272-933E-4D06-B41E-C83FF259EEC3}"/>
                </a:ext>
              </a:extLst>
            </xdr:cNvPr>
            <xdr:cNvPicPr>
              <a:picLocks noChangeAspect="1" noChangeArrowheads="1"/>
              <a:extLst>
                <a:ext uri="{84589F7E-364E-4C9E-8A38-B11213B215E9}">
                  <a14:cameraTool cellRange="タイプ" spid="_x0000_s5343"/>
                </a:ext>
              </a:extLst>
            </xdr:cNvPicPr>
          </xdr:nvPicPr>
          <xdr:blipFill>
            <a:blip xmlns:r="http://schemas.openxmlformats.org/officeDocument/2006/relationships" r:embed="rId7"/>
            <a:srcRect/>
            <a:stretch>
              <a:fillRect/>
            </a:stretch>
          </xdr:blipFill>
          <xdr:spPr bwMode="auto">
            <a:xfrm>
              <a:off x="5529028" y="3630706"/>
              <a:ext cx="4665383" cy="4518585"/>
            </a:xfrm>
            <a:prstGeom prst="rect">
              <a:avLst/>
            </a:prstGeom>
            <a:noFill/>
            <a:ln>
              <a:noFill/>
            </a:ln>
            <a:extLst>
              <a:ext uri="{909E8E84-426E-40DD-AFC4-6F175D3DCCD1}">
                <a14:hiddenFill>
                  <a:solidFill>
                    <a:srgbClr val="FFFFFF"/>
                  </a:solidFill>
                </a14:hiddenFill>
              </a:ext>
            </a:extLst>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55</xdr:col>
      <xdr:colOff>291210</xdr:colOff>
      <xdr:row>10</xdr:row>
      <xdr:rowOff>157740</xdr:rowOff>
    </xdr:from>
    <xdr:to>
      <xdr:col>61</xdr:col>
      <xdr:colOff>567084</xdr:colOff>
      <xdr:row>18</xdr:row>
      <xdr:rowOff>5403</xdr:rowOff>
    </xdr:to>
    <xdr:pic>
      <xdr:nvPicPr>
        <xdr:cNvPr id="2" name="図 1">
          <a:extLst>
            <a:ext uri="{FF2B5EF4-FFF2-40B4-BE49-F238E27FC236}">
              <a16:creationId xmlns:a16="http://schemas.microsoft.com/office/drawing/2014/main" id="{64F5B2FF-DC81-412A-ADDB-E63332EF3CEC}"/>
            </a:ext>
          </a:extLst>
        </xdr:cNvPr>
        <xdr:cNvPicPr>
          <a:picLocks noChangeAspect="1"/>
        </xdr:cNvPicPr>
      </xdr:nvPicPr>
      <xdr:blipFill>
        <a:blip xmlns:r="http://schemas.openxmlformats.org/officeDocument/2006/relationships" r:embed="rId1"/>
        <a:stretch>
          <a:fillRect/>
        </a:stretch>
      </xdr:blipFill>
      <xdr:spPr>
        <a:xfrm>
          <a:off x="36035360" y="3783590"/>
          <a:ext cx="4276374" cy="4368863"/>
        </a:xfrm>
        <a:prstGeom prst="rect">
          <a:avLst/>
        </a:prstGeom>
      </xdr:spPr>
    </xdr:pic>
    <xdr:clientData/>
  </xdr:twoCellAnchor>
  <xdr:twoCellAnchor editAs="oneCell">
    <xdr:from>
      <xdr:col>48</xdr:col>
      <xdr:colOff>299301</xdr:colOff>
      <xdr:row>10</xdr:row>
      <xdr:rowOff>161784</xdr:rowOff>
    </xdr:from>
    <xdr:to>
      <xdr:col>54</xdr:col>
      <xdr:colOff>575174</xdr:colOff>
      <xdr:row>18</xdr:row>
      <xdr:rowOff>9447</xdr:rowOff>
    </xdr:to>
    <xdr:pic>
      <xdr:nvPicPr>
        <xdr:cNvPr id="3" name="図 2">
          <a:extLst>
            <a:ext uri="{FF2B5EF4-FFF2-40B4-BE49-F238E27FC236}">
              <a16:creationId xmlns:a16="http://schemas.microsoft.com/office/drawing/2014/main" id="{AE945871-13CB-4430-A260-93590ECEAB7D}"/>
            </a:ext>
          </a:extLst>
        </xdr:cNvPr>
        <xdr:cNvPicPr>
          <a:picLocks noChangeAspect="1"/>
        </xdr:cNvPicPr>
      </xdr:nvPicPr>
      <xdr:blipFill>
        <a:blip xmlns:r="http://schemas.openxmlformats.org/officeDocument/2006/relationships" r:embed="rId2"/>
        <a:stretch>
          <a:fillRect/>
        </a:stretch>
      </xdr:blipFill>
      <xdr:spPr>
        <a:xfrm>
          <a:off x="31376201" y="3787634"/>
          <a:ext cx="4276373" cy="4368863"/>
        </a:xfrm>
        <a:prstGeom prst="rect">
          <a:avLst/>
        </a:prstGeom>
      </xdr:spPr>
    </xdr:pic>
    <xdr:clientData/>
  </xdr:twoCellAnchor>
  <xdr:twoCellAnchor editAs="oneCell">
    <xdr:from>
      <xdr:col>41</xdr:col>
      <xdr:colOff>299301</xdr:colOff>
      <xdr:row>10</xdr:row>
      <xdr:rowOff>424682</xdr:rowOff>
    </xdr:from>
    <xdr:to>
      <xdr:col>47</xdr:col>
      <xdr:colOff>259122</xdr:colOff>
      <xdr:row>18</xdr:row>
      <xdr:rowOff>2345</xdr:rowOff>
    </xdr:to>
    <xdr:pic>
      <xdr:nvPicPr>
        <xdr:cNvPr id="4" name="図 3">
          <a:extLst>
            <a:ext uri="{FF2B5EF4-FFF2-40B4-BE49-F238E27FC236}">
              <a16:creationId xmlns:a16="http://schemas.microsoft.com/office/drawing/2014/main" id="{7B25744D-94F2-46E4-8D70-B2FD26617C1C}"/>
            </a:ext>
          </a:extLst>
        </xdr:cNvPr>
        <xdr:cNvPicPr>
          <a:picLocks noChangeAspect="1"/>
        </xdr:cNvPicPr>
      </xdr:nvPicPr>
      <xdr:blipFill>
        <a:blip xmlns:r="http://schemas.openxmlformats.org/officeDocument/2006/relationships" r:embed="rId3"/>
        <a:stretch>
          <a:fillRect/>
        </a:stretch>
      </xdr:blipFill>
      <xdr:spPr>
        <a:xfrm>
          <a:off x="26708951" y="4050532"/>
          <a:ext cx="3960321" cy="4098863"/>
        </a:xfrm>
        <a:prstGeom prst="rect">
          <a:avLst/>
        </a:prstGeom>
      </xdr:spPr>
    </xdr:pic>
    <xdr:clientData/>
  </xdr:twoCellAnchor>
  <xdr:twoCellAnchor editAs="oneCell">
    <xdr:from>
      <xdr:col>34</xdr:col>
      <xdr:colOff>295255</xdr:colOff>
      <xdr:row>10</xdr:row>
      <xdr:rowOff>481306</xdr:rowOff>
    </xdr:from>
    <xdr:to>
      <xdr:col>40</xdr:col>
      <xdr:colOff>267451</xdr:colOff>
      <xdr:row>18</xdr:row>
      <xdr:rowOff>4969</xdr:rowOff>
    </xdr:to>
    <xdr:pic>
      <xdr:nvPicPr>
        <xdr:cNvPr id="5" name="図 4">
          <a:extLst>
            <a:ext uri="{FF2B5EF4-FFF2-40B4-BE49-F238E27FC236}">
              <a16:creationId xmlns:a16="http://schemas.microsoft.com/office/drawing/2014/main" id="{77994E6C-93DA-44AD-AC90-02F4441718BD}"/>
            </a:ext>
          </a:extLst>
        </xdr:cNvPr>
        <xdr:cNvPicPr>
          <a:picLocks noChangeAspect="1"/>
        </xdr:cNvPicPr>
      </xdr:nvPicPr>
      <xdr:blipFill>
        <a:blip xmlns:r="http://schemas.openxmlformats.org/officeDocument/2006/relationships" r:embed="rId4"/>
        <a:stretch>
          <a:fillRect/>
        </a:stretch>
      </xdr:blipFill>
      <xdr:spPr>
        <a:xfrm>
          <a:off x="22037655" y="4107156"/>
          <a:ext cx="3972696" cy="4044863"/>
        </a:xfrm>
        <a:prstGeom prst="rect">
          <a:avLst/>
        </a:prstGeom>
      </xdr:spPr>
    </xdr:pic>
    <xdr:clientData/>
  </xdr:twoCellAnchor>
  <xdr:twoCellAnchor editAs="oneCell">
    <xdr:from>
      <xdr:col>27</xdr:col>
      <xdr:colOff>295777</xdr:colOff>
      <xdr:row>10</xdr:row>
      <xdr:rowOff>545319</xdr:rowOff>
    </xdr:from>
    <xdr:to>
      <xdr:col>33</xdr:col>
      <xdr:colOff>85067</xdr:colOff>
      <xdr:row>18</xdr:row>
      <xdr:rowOff>997</xdr:rowOff>
    </xdr:to>
    <xdr:pic>
      <xdr:nvPicPr>
        <xdr:cNvPr id="6" name="図 5">
          <a:extLst>
            <a:ext uri="{FF2B5EF4-FFF2-40B4-BE49-F238E27FC236}">
              <a16:creationId xmlns:a16="http://schemas.microsoft.com/office/drawing/2014/main" id="{A647505F-2C07-4BD3-A927-D5FB77349BAC}"/>
            </a:ext>
          </a:extLst>
        </xdr:cNvPr>
        <xdr:cNvPicPr>
          <a:picLocks noChangeAspect="1"/>
        </xdr:cNvPicPr>
      </xdr:nvPicPr>
      <xdr:blipFill>
        <a:blip xmlns:r="http://schemas.openxmlformats.org/officeDocument/2006/relationships" r:embed="rId5"/>
        <a:stretch>
          <a:fillRect/>
        </a:stretch>
      </xdr:blipFill>
      <xdr:spPr>
        <a:xfrm>
          <a:off x="17370927" y="4171169"/>
          <a:ext cx="3789790" cy="3976878"/>
        </a:xfrm>
        <a:prstGeom prst="rect">
          <a:avLst/>
        </a:prstGeom>
      </xdr:spPr>
    </xdr:pic>
    <xdr:clientData/>
  </xdr:twoCellAnchor>
  <xdr:twoCellAnchor editAs="oneCell">
    <xdr:from>
      <xdr:col>20</xdr:col>
      <xdr:colOff>310127</xdr:colOff>
      <xdr:row>11</xdr:row>
      <xdr:rowOff>38126</xdr:rowOff>
    </xdr:from>
    <xdr:to>
      <xdr:col>26</xdr:col>
      <xdr:colOff>91506</xdr:colOff>
      <xdr:row>18</xdr:row>
      <xdr:rowOff>19515</xdr:rowOff>
    </xdr:to>
    <xdr:pic>
      <xdr:nvPicPr>
        <xdr:cNvPr id="7" name="図 6">
          <a:extLst>
            <a:ext uri="{FF2B5EF4-FFF2-40B4-BE49-F238E27FC236}">
              <a16:creationId xmlns:a16="http://schemas.microsoft.com/office/drawing/2014/main" id="{686C09F9-CE55-43EA-A3DC-E8CF45B438BF}"/>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718027" y="4229126"/>
          <a:ext cx="3781879" cy="393743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30</xdr:row>
      <xdr:rowOff>28863</xdr:rowOff>
    </xdr:from>
    <xdr:to>
      <xdr:col>16</xdr:col>
      <xdr:colOff>0</xdr:colOff>
      <xdr:row>34</xdr:row>
      <xdr:rowOff>209261</xdr:rowOff>
    </xdr:to>
    <xdr:sp macro="" textlink="">
      <xdr:nvSpPr>
        <xdr:cNvPr id="8" name="テキスト ボックス 7">
          <a:extLst>
            <a:ext uri="{FF2B5EF4-FFF2-40B4-BE49-F238E27FC236}">
              <a16:creationId xmlns:a16="http://schemas.microsoft.com/office/drawing/2014/main" id="{5B0E2796-D9A2-42A8-B867-0C9D007ABFCE}"/>
            </a:ext>
          </a:extLst>
        </xdr:cNvPr>
        <xdr:cNvSpPr txBox="1"/>
      </xdr:nvSpPr>
      <xdr:spPr>
        <a:xfrm>
          <a:off x="82550" y="12519313"/>
          <a:ext cx="10274300" cy="15011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本シートの使用にあたっては、以下の注意事項を確認し、承諾したものとみなします</a:t>
          </a:r>
          <a:r>
            <a:rPr kumimoji="1" lang="en-US" altLang="ja-JP" sz="1050">
              <a:latin typeface="ＭＳ Ｐ明朝" panose="02020600040205080304" pitchFamily="18" charset="-128"/>
              <a:ea typeface="ＭＳ Ｐ明朝" panose="02020600040205080304" pitchFamily="18" charset="-128"/>
            </a:rPr>
            <a:t>】</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「二重枠」に囲まれたセルにオープンループ型地中熱ヒートポンプシステムの諸元を入力することで、熱源水ポンプ群の合計消費電力を計算できます。</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オープンループのタイプによって入力・計算等が不要なセルはグレーアウトします。また、赤色のセルが出る場合は入力が適切でありません。確認してください。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本シートは、地中熱ヒートポンプシステムの諸元を確認できる図面資料等と揃えてまとめて提出することで、審査の簡略化を図ることを意図して作成しています。</a:t>
          </a:r>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算定結果の正しさを保証するものではありませんので、使用者の責任において使用してください。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入力する数値の桁数は、右側の注意事項を確認して入力してください。指定の桁数を超えて入力しても、計算には反映されません。</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本シートの使用にあたり操作が不要なセルについては、誤操作を防止するために「ロック」をかけています。ロックは「</a:t>
          </a:r>
          <a:r>
            <a:rPr kumimoji="1" lang="en-US" altLang="ja-JP" sz="1050">
              <a:latin typeface="ＭＳ Ｐ明朝" panose="02020600040205080304" pitchFamily="18" charset="-128"/>
              <a:ea typeface="ＭＳ Ｐ明朝" panose="02020600040205080304" pitchFamily="18" charset="-128"/>
            </a:rPr>
            <a:t>gshp2020</a:t>
          </a:r>
          <a:r>
            <a:rPr kumimoji="1" lang="ja-JP" altLang="en-US" sz="1050">
              <a:latin typeface="ＭＳ Ｐ明朝" panose="02020600040205080304" pitchFamily="18" charset="-128"/>
              <a:ea typeface="ＭＳ Ｐ明朝" panose="02020600040205080304" pitchFamily="18" charset="-128"/>
            </a:rPr>
            <a:t>」で解除できます。</a:t>
          </a:r>
          <a:endParaRPr kumimoji="1" lang="en-US" altLang="ja-JP" sz="1050">
            <a:latin typeface="ＭＳ Ｐ明朝" panose="02020600040205080304" pitchFamily="18" charset="-128"/>
            <a:ea typeface="ＭＳ Ｐ明朝" panose="02020600040205080304" pitchFamily="18" charset="-128"/>
          </a:endParaRPr>
        </a:p>
        <a:p>
          <a:r>
            <a:rPr kumimoji="1" lang="ja-JP" altLang="en-US" sz="1050">
              <a:latin typeface="ＭＳ Ｐ明朝" panose="02020600040205080304" pitchFamily="18" charset="-128"/>
              <a:ea typeface="ＭＳ Ｐ明朝" panose="02020600040205080304" pitchFamily="18" charset="-128"/>
            </a:rPr>
            <a:t>　 解除後にセル内の数式を変更しますと正しい計算ができなくなることがありますので、ご注意ください。</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153938</xdr:colOff>
          <xdr:row>10</xdr:row>
          <xdr:rowOff>0</xdr:rowOff>
        </xdr:from>
        <xdr:to>
          <xdr:col>15</xdr:col>
          <xdr:colOff>666749</xdr:colOff>
          <xdr:row>17</xdr:row>
          <xdr:rowOff>458338</xdr:rowOff>
        </xdr:to>
        <xdr:pic>
          <xdr:nvPicPr>
            <xdr:cNvPr id="9" name="図 8">
              <a:extLst>
                <a:ext uri="{FF2B5EF4-FFF2-40B4-BE49-F238E27FC236}">
                  <a16:creationId xmlns:a16="http://schemas.microsoft.com/office/drawing/2014/main" id="{3659729B-7D7D-4590-8893-CCEBBFCA3F02}"/>
                </a:ext>
              </a:extLst>
            </xdr:cNvPr>
            <xdr:cNvPicPr>
              <a:picLocks noChangeArrowheads="1"/>
              <a:extLst>
                <a:ext uri="{84589F7E-364E-4C9E-8A38-B11213B215E9}">
                  <a14:cameraTool cellRange="タイプ" spid="_x0000_s12318"/>
                </a:ext>
              </a:extLst>
            </xdr:cNvPicPr>
          </xdr:nvPicPr>
          <xdr:blipFill>
            <a:blip xmlns:r="http://schemas.openxmlformats.org/officeDocument/2006/relationships" r:embed="rId7"/>
            <a:srcRect/>
            <a:stretch>
              <a:fillRect/>
            </a:stretch>
          </xdr:blipFill>
          <xdr:spPr bwMode="auto">
            <a:xfrm>
              <a:off x="5538738" y="3625850"/>
              <a:ext cx="4551411" cy="4414388"/>
            </a:xfrm>
            <a:prstGeom prst="rect">
              <a:avLst/>
            </a:prstGeom>
            <a:noFill/>
            <a:ln>
              <a:noFill/>
            </a:ln>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0</xdr:colOff>
      <xdr:row>33</xdr:row>
      <xdr:rowOff>57150</xdr:rowOff>
    </xdr:from>
    <xdr:to>
      <xdr:col>2</xdr:col>
      <xdr:colOff>0</xdr:colOff>
      <xdr:row>96</xdr:row>
      <xdr:rowOff>181206</xdr:rowOff>
    </xdr:to>
    <xdr:pic>
      <xdr:nvPicPr>
        <xdr:cNvPr id="32" name="図 31">
          <a:extLst>
            <a:ext uri="{FF2B5EF4-FFF2-40B4-BE49-F238E27FC236}">
              <a16:creationId xmlns:a16="http://schemas.microsoft.com/office/drawing/2014/main" id="{9009E55D-3D2F-40EC-B9A8-FBB1A5A0B5F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2299950"/>
          <a:ext cx="9848850" cy="13325706"/>
        </a:xfrm>
        <a:prstGeom prst="rect">
          <a:avLst/>
        </a:prstGeom>
        <a:noFill/>
        <a:ln>
          <a:noFill/>
        </a:ln>
      </xdr:spPr>
    </xdr:pic>
    <xdr:clientData/>
  </xdr:twoCellAnchor>
  <xdr:twoCellAnchor>
    <xdr:from>
      <xdr:col>1</xdr:col>
      <xdr:colOff>749300</xdr:colOff>
      <xdr:row>34</xdr:row>
      <xdr:rowOff>50799</xdr:rowOff>
    </xdr:from>
    <xdr:to>
      <xdr:col>1</xdr:col>
      <xdr:colOff>7727949</xdr:colOff>
      <xdr:row>89</xdr:row>
      <xdr:rowOff>202891</xdr:rowOff>
    </xdr:to>
    <xdr:grpSp>
      <xdr:nvGrpSpPr>
        <xdr:cNvPr id="3" name="グループ化 3">
          <a:extLst>
            <a:ext uri="{FF2B5EF4-FFF2-40B4-BE49-F238E27FC236}">
              <a16:creationId xmlns:a16="http://schemas.microsoft.com/office/drawing/2014/main" id="{643551C6-9C58-4BEA-B5B4-16A1C5DD50D7}"/>
            </a:ext>
          </a:extLst>
        </xdr:cNvPr>
        <xdr:cNvGrpSpPr>
          <a:grpSpLocks/>
        </xdr:cNvGrpSpPr>
      </xdr:nvGrpSpPr>
      <xdr:grpSpPr bwMode="auto">
        <a:xfrm>
          <a:off x="850900" y="12503149"/>
          <a:ext cx="6978649" cy="11677342"/>
          <a:chOff x="853185" y="15687045"/>
          <a:chExt cx="6987849" cy="11556081"/>
        </a:xfrm>
      </xdr:grpSpPr>
      <xdr:sp macro="" textlink="">
        <xdr:nvSpPr>
          <xdr:cNvPr id="4" name="テキスト ボックス 3">
            <a:extLst>
              <a:ext uri="{FF2B5EF4-FFF2-40B4-BE49-F238E27FC236}">
                <a16:creationId xmlns:a16="http://schemas.microsoft.com/office/drawing/2014/main" id="{DC721DB8-F48E-48E5-988A-D6E1A07FB2A9}"/>
              </a:ext>
            </a:extLst>
          </xdr:cNvPr>
          <xdr:cNvSpPr txBox="1"/>
        </xdr:nvSpPr>
        <xdr:spPr bwMode="auto">
          <a:xfrm>
            <a:off x="5138727" y="15687045"/>
            <a:ext cx="883814" cy="546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①</a:t>
            </a:r>
          </a:p>
        </xdr:txBody>
      </xdr:sp>
      <xdr:sp macro="" textlink="">
        <xdr:nvSpPr>
          <xdr:cNvPr id="5" name="テキスト ボックス 4">
            <a:extLst>
              <a:ext uri="{FF2B5EF4-FFF2-40B4-BE49-F238E27FC236}">
                <a16:creationId xmlns:a16="http://schemas.microsoft.com/office/drawing/2014/main" id="{C72BB51B-11BD-437C-83F4-39545A685DC4}"/>
              </a:ext>
            </a:extLst>
          </xdr:cNvPr>
          <xdr:cNvSpPr txBox="1"/>
        </xdr:nvSpPr>
        <xdr:spPr bwMode="auto">
          <a:xfrm>
            <a:off x="6963579" y="15800156"/>
            <a:ext cx="877455" cy="546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②</a:t>
            </a:r>
          </a:p>
        </xdr:txBody>
      </xdr:sp>
      <xdr:sp macro="" textlink="">
        <xdr:nvSpPr>
          <xdr:cNvPr id="6" name="テキスト ボックス 5">
            <a:extLst>
              <a:ext uri="{FF2B5EF4-FFF2-40B4-BE49-F238E27FC236}">
                <a16:creationId xmlns:a16="http://schemas.microsoft.com/office/drawing/2014/main" id="{288E3424-B0F4-43FC-8906-8F3C2D5BB37C}"/>
              </a:ext>
            </a:extLst>
          </xdr:cNvPr>
          <xdr:cNvSpPr txBox="1"/>
        </xdr:nvSpPr>
        <xdr:spPr bwMode="auto">
          <a:xfrm>
            <a:off x="853185" y="16818148"/>
            <a:ext cx="864738"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③</a:t>
            </a:r>
          </a:p>
        </xdr:txBody>
      </xdr:sp>
      <xdr:sp macro="" textlink="">
        <xdr:nvSpPr>
          <xdr:cNvPr id="7" name="テキスト ボックス 6">
            <a:extLst>
              <a:ext uri="{FF2B5EF4-FFF2-40B4-BE49-F238E27FC236}">
                <a16:creationId xmlns:a16="http://schemas.microsoft.com/office/drawing/2014/main" id="{019134A4-684D-4A4C-98AC-5F7139D3BF4B}"/>
              </a:ext>
            </a:extLst>
          </xdr:cNvPr>
          <xdr:cNvSpPr txBox="1"/>
        </xdr:nvSpPr>
        <xdr:spPr bwMode="auto">
          <a:xfrm>
            <a:off x="4407515" y="16824430"/>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④</a:t>
            </a:r>
          </a:p>
        </xdr:txBody>
      </xdr:sp>
      <xdr:sp macro="" textlink="">
        <xdr:nvSpPr>
          <xdr:cNvPr id="8" name="テキスト ボックス 7">
            <a:extLst>
              <a:ext uri="{FF2B5EF4-FFF2-40B4-BE49-F238E27FC236}">
                <a16:creationId xmlns:a16="http://schemas.microsoft.com/office/drawing/2014/main" id="{DA612464-5D26-4AAC-9AE4-9F3417637D3C}"/>
              </a:ext>
            </a:extLst>
          </xdr:cNvPr>
          <xdr:cNvSpPr txBox="1"/>
        </xdr:nvSpPr>
        <xdr:spPr bwMode="auto">
          <a:xfrm>
            <a:off x="3949712" y="18005805"/>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⑤</a:t>
            </a:r>
          </a:p>
        </xdr:txBody>
      </xdr:sp>
      <xdr:sp macro="" textlink="">
        <xdr:nvSpPr>
          <xdr:cNvPr id="26" name="テキスト ボックス 25">
            <a:extLst>
              <a:ext uri="{FF2B5EF4-FFF2-40B4-BE49-F238E27FC236}">
                <a16:creationId xmlns:a16="http://schemas.microsoft.com/office/drawing/2014/main" id="{583143A3-0B3D-48C4-AFEE-CB158BF0E7B2}"/>
              </a:ext>
            </a:extLst>
          </xdr:cNvPr>
          <xdr:cNvSpPr txBox="1"/>
        </xdr:nvSpPr>
        <xdr:spPr bwMode="auto">
          <a:xfrm>
            <a:off x="3949712" y="23416234"/>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⑥</a:t>
            </a:r>
          </a:p>
        </xdr:txBody>
      </xdr:sp>
      <xdr:sp macro="" textlink="">
        <xdr:nvSpPr>
          <xdr:cNvPr id="27" name="テキスト ボックス 26">
            <a:extLst>
              <a:ext uri="{FF2B5EF4-FFF2-40B4-BE49-F238E27FC236}">
                <a16:creationId xmlns:a16="http://schemas.microsoft.com/office/drawing/2014/main" id="{5F7D8C9A-3F24-4250-A093-2BCF10B97006}"/>
              </a:ext>
            </a:extLst>
          </xdr:cNvPr>
          <xdr:cNvSpPr txBox="1"/>
        </xdr:nvSpPr>
        <xdr:spPr bwMode="auto">
          <a:xfrm>
            <a:off x="3949712" y="23786984"/>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⑦</a:t>
            </a:r>
          </a:p>
        </xdr:txBody>
      </xdr:sp>
      <xdr:sp macro="" textlink="">
        <xdr:nvSpPr>
          <xdr:cNvPr id="28" name="テキスト ボックス 27">
            <a:extLst>
              <a:ext uri="{FF2B5EF4-FFF2-40B4-BE49-F238E27FC236}">
                <a16:creationId xmlns:a16="http://schemas.microsoft.com/office/drawing/2014/main" id="{EB967C2D-1C88-43D2-B191-5ABD7FD8A327}"/>
              </a:ext>
            </a:extLst>
          </xdr:cNvPr>
          <xdr:cNvSpPr txBox="1"/>
        </xdr:nvSpPr>
        <xdr:spPr bwMode="auto">
          <a:xfrm>
            <a:off x="3949712" y="24515916"/>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⑧</a:t>
            </a:r>
          </a:p>
        </xdr:txBody>
      </xdr:sp>
      <xdr:sp macro="" textlink="">
        <xdr:nvSpPr>
          <xdr:cNvPr id="29" name="テキスト ボックス 28">
            <a:extLst>
              <a:ext uri="{FF2B5EF4-FFF2-40B4-BE49-F238E27FC236}">
                <a16:creationId xmlns:a16="http://schemas.microsoft.com/office/drawing/2014/main" id="{1B07DA42-59E4-427F-B705-07E28E4D7D5E}"/>
              </a:ext>
            </a:extLst>
          </xdr:cNvPr>
          <xdr:cNvSpPr txBox="1"/>
        </xdr:nvSpPr>
        <xdr:spPr bwMode="auto">
          <a:xfrm>
            <a:off x="3949712" y="24886665"/>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⑨</a:t>
            </a:r>
          </a:p>
        </xdr:txBody>
      </xdr:sp>
      <xdr:sp macro="" textlink="">
        <xdr:nvSpPr>
          <xdr:cNvPr id="30" name="テキスト ボックス 29">
            <a:extLst>
              <a:ext uri="{FF2B5EF4-FFF2-40B4-BE49-F238E27FC236}">
                <a16:creationId xmlns:a16="http://schemas.microsoft.com/office/drawing/2014/main" id="{042F7993-43B1-4B0F-A921-0F316C42AC46}"/>
              </a:ext>
            </a:extLst>
          </xdr:cNvPr>
          <xdr:cNvSpPr txBox="1"/>
        </xdr:nvSpPr>
        <xdr:spPr bwMode="auto">
          <a:xfrm>
            <a:off x="3949712" y="25596745"/>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⑩</a:t>
            </a:r>
          </a:p>
        </xdr:txBody>
      </xdr:sp>
      <xdr:sp macro="" textlink="">
        <xdr:nvSpPr>
          <xdr:cNvPr id="31" name="テキスト ボックス 30">
            <a:extLst>
              <a:ext uri="{FF2B5EF4-FFF2-40B4-BE49-F238E27FC236}">
                <a16:creationId xmlns:a16="http://schemas.microsoft.com/office/drawing/2014/main" id="{1773720F-F15F-4092-9347-375990A46432}"/>
              </a:ext>
            </a:extLst>
          </xdr:cNvPr>
          <xdr:cNvSpPr txBox="1"/>
        </xdr:nvSpPr>
        <xdr:spPr bwMode="auto">
          <a:xfrm>
            <a:off x="3949712" y="26690143"/>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⑪</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80</xdr:row>
      <xdr:rowOff>19243</xdr:rowOff>
    </xdr:from>
    <xdr:to>
      <xdr:col>16</xdr:col>
      <xdr:colOff>0</xdr:colOff>
      <xdr:row>86</xdr:row>
      <xdr:rowOff>160353</xdr:rowOff>
    </xdr:to>
    <xdr:sp macro="" textlink="">
      <xdr:nvSpPr>
        <xdr:cNvPr id="2" name="テキスト ボックス 1">
          <a:extLst>
            <a:ext uri="{FF2B5EF4-FFF2-40B4-BE49-F238E27FC236}">
              <a16:creationId xmlns:a16="http://schemas.microsoft.com/office/drawing/2014/main" id="{F1BE63A0-93B7-4C7D-92BB-1EE2BFF1BA3B}"/>
            </a:ext>
          </a:extLst>
        </xdr:cNvPr>
        <xdr:cNvSpPr txBox="1"/>
      </xdr:nvSpPr>
      <xdr:spPr>
        <a:xfrm>
          <a:off x="82550" y="28816493"/>
          <a:ext cx="10274300" cy="1544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本シートの使用にあたっては、以下の注意事項を確認し、承諾したものとみなします</a:t>
          </a:r>
          <a:r>
            <a:rPr kumimoji="1" lang="en-US" altLang="ja-JP" sz="1050">
              <a:latin typeface="ＭＳ Ｐ明朝" panose="02020600040205080304" pitchFamily="18" charset="-128"/>
              <a:ea typeface="ＭＳ Ｐ明朝" panose="02020600040205080304" pitchFamily="18" charset="-128"/>
            </a:rPr>
            <a:t>】</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「二重枠」に囲まれたセルにオープンループ型地中熱ヒートポンプシステムの諸元を入力することで、設計の妥当性を確認できます。</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オープンループのタイプによって入力・計算等が不要なセルはグレーアウトします。また、赤色のセルが出る場合は入力が適切でありません。確認してください。</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は、地中熱ヒートポンプシステムの諸元を確認できる図面資料等と揃えてまとめて提出することで、審査の簡略化を図ることを意図して作成しています。算定結果の正しさを保証するものではありませんので、使用者の責任において使用してください。</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入力する数値の桁数は、右側の注意事項を確認して入力してください。指定の桁数を超えて入力しても、計算には反映されません。</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本シートの使用にあたり操作が不要なセルについては、誤操作を防止するために「ロック」をかけています。ロックは「</a:t>
          </a:r>
          <a:r>
            <a:rPr kumimoji="1" lang="en-US" altLang="ja-JP" sz="1050">
              <a:latin typeface="ＭＳ Ｐ明朝" panose="02020600040205080304" pitchFamily="18" charset="-128"/>
              <a:ea typeface="ＭＳ Ｐ明朝" panose="02020600040205080304" pitchFamily="18" charset="-128"/>
            </a:rPr>
            <a:t>gshp2020</a:t>
          </a:r>
          <a:r>
            <a:rPr kumimoji="1" lang="ja-JP" altLang="en-US" sz="1050">
              <a:latin typeface="ＭＳ Ｐ明朝" panose="02020600040205080304" pitchFamily="18" charset="-128"/>
              <a:ea typeface="ＭＳ Ｐ明朝" panose="02020600040205080304" pitchFamily="18" charset="-128"/>
            </a:rPr>
            <a:t>」で解除できます。解除後にセル内の数式を変更しますと正しい計算ができなくなることがありますので、ご注意ください。</a:t>
          </a:r>
        </a:p>
        <a:p>
          <a:endParaRPr kumimoji="1" lang="ja-JP" altLang="en-US" sz="1050">
            <a:latin typeface="ＭＳ Ｐ明朝" panose="02020600040205080304" pitchFamily="18" charset="-128"/>
            <a:ea typeface="ＭＳ Ｐ明朝" panose="02020600040205080304" pitchFamily="18" charset="-128"/>
          </a:endParaRPr>
        </a:p>
      </xdr:txBody>
    </xdr:sp>
    <xdr:clientData/>
  </xdr:twoCellAnchor>
  <xdr:twoCellAnchor>
    <xdr:from>
      <xdr:col>1</xdr:col>
      <xdr:colOff>0</xdr:colOff>
      <xdr:row>39</xdr:row>
      <xdr:rowOff>35278</xdr:rowOff>
    </xdr:from>
    <xdr:to>
      <xdr:col>16</xdr:col>
      <xdr:colOff>0</xdr:colOff>
      <xdr:row>43</xdr:row>
      <xdr:rowOff>224896</xdr:rowOff>
    </xdr:to>
    <xdr:sp macro="" textlink="">
      <xdr:nvSpPr>
        <xdr:cNvPr id="3" name="テキスト ボックス 2">
          <a:extLst>
            <a:ext uri="{FF2B5EF4-FFF2-40B4-BE49-F238E27FC236}">
              <a16:creationId xmlns:a16="http://schemas.microsoft.com/office/drawing/2014/main" id="{D60FB3A9-A092-4161-BFCD-CAD84FD3AE76}"/>
            </a:ext>
          </a:extLst>
        </xdr:cNvPr>
        <xdr:cNvSpPr txBox="1"/>
      </xdr:nvSpPr>
      <xdr:spPr>
        <a:xfrm>
          <a:off x="83785" y="13868577"/>
          <a:ext cx="10279062" cy="15169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本シートの使用にあたっては、以下の注意事項を確認し、承諾したものとみなします</a:t>
          </a:r>
          <a:r>
            <a:rPr kumimoji="1" lang="en-US" altLang="ja-JP" sz="1050">
              <a:latin typeface="ＭＳ Ｐ明朝" panose="02020600040205080304" pitchFamily="18" charset="-128"/>
              <a:ea typeface="ＭＳ Ｐ明朝" panose="02020600040205080304" pitchFamily="18" charset="-128"/>
            </a:rPr>
            <a:t>】</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「二重枠」に囲まれたセルにオープンループ型地中熱ヒートポンプシステムの諸元を入力することで、設計の妥当性を確認できます。</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オープンループのタイプによって入力・計算等が不要なセルはグレーアウトします。また、赤色のセルが出る場合は入力が適切でありません。確認してください。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は、地中熱ヒートポンプシステムの諸元を確認できる図面資料等と揃えてまとめて提出することで、審査の簡略化を図ることを意図して作成しています。算定結果の正しさを保証するものではありませんので、使用者の責任において使用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入力する数値の桁数は、右側の注意事項を確認して入力してください。指定の桁数を超えて入力しても、計算には反映されません。</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本シートの使用にあたり操作が不要なセルについては、誤操作を防止するために「ロック」をかけています。ロックは「</a:t>
          </a:r>
          <a:r>
            <a:rPr kumimoji="1" lang="en-US" altLang="ja-JP" sz="1050">
              <a:latin typeface="ＭＳ Ｐ明朝" panose="02020600040205080304" pitchFamily="18" charset="-128"/>
              <a:ea typeface="ＭＳ Ｐ明朝" panose="02020600040205080304" pitchFamily="18" charset="-128"/>
            </a:rPr>
            <a:t>gshp2020</a:t>
          </a:r>
          <a:r>
            <a:rPr kumimoji="1" lang="ja-JP" altLang="en-US" sz="1050">
              <a:latin typeface="ＭＳ Ｐ明朝" panose="02020600040205080304" pitchFamily="18" charset="-128"/>
              <a:ea typeface="ＭＳ Ｐ明朝" panose="02020600040205080304" pitchFamily="18" charset="-128"/>
            </a:rPr>
            <a:t>」で解除できます。解除後にセル内の数式を変更しますと正しい計算ができなくなることがありますので、ご注意ください。</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80</xdr:row>
      <xdr:rowOff>19243</xdr:rowOff>
    </xdr:from>
    <xdr:to>
      <xdr:col>16</xdr:col>
      <xdr:colOff>0</xdr:colOff>
      <xdr:row>86</xdr:row>
      <xdr:rowOff>160353</xdr:rowOff>
    </xdr:to>
    <xdr:sp macro="" textlink="">
      <xdr:nvSpPr>
        <xdr:cNvPr id="2" name="テキスト ボックス 1">
          <a:extLst>
            <a:ext uri="{FF2B5EF4-FFF2-40B4-BE49-F238E27FC236}">
              <a16:creationId xmlns:a16="http://schemas.microsoft.com/office/drawing/2014/main" id="{572283DA-32C1-41BF-9BAD-A09CD0B49D7B}"/>
            </a:ext>
          </a:extLst>
        </xdr:cNvPr>
        <xdr:cNvSpPr txBox="1"/>
      </xdr:nvSpPr>
      <xdr:spPr>
        <a:xfrm>
          <a:off x="82550" y="28841893"/>
          <a:ext cx="10274300" cy="15444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本シートの使用にあたっては、以下の注意事項を確認し、承諾したものとみなします</a:t>
          </a:r>
          <a:r>
            <a:rPr kumimoji="1" lang="en-US" altLang="ja-JP" sz="1050">
              <a:latin typeface="ＭＳ Ｐ明朝" panose="02020600040205080304" pitchFamily="18" charset="-128"/>
              <a:ea typeface="ＭＳ Ｐ明朝" panose="02020600040205080304" pitchFamily="18" charset="-128"/>
            </a:rPr>
            <a:t>】</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「二重枠」に囲まれたセルにオープンループ型地中熱ヒートポンプシステムの諸元を入力することで、設計の妥当性を確認できます。</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オープンループのタイプによって入力・計算等が不要なセルはグレーアウトします。また、赤色のセルが出る場合は入力が適切でありません。確認してください。</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は、地中熱ヒートポンプシステムの諸元を確認できる図面資料等と揃えてまとめて提出することで、審査の簡略化を図ることを意図して作成しています。算定結果の正しさを保証するものではありませんので、使用者の責任において使用してください。</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入力する数値の桁数は、右側の注意事項を確認して入力してください。指定の桁数を超えて入力しても、計算には反映されません。</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本シートの使用にあたり操作が不要なセルについては、誤操作を防止するために「ロック」をかけています。ロックは「</a:t>
          </a:r>
          <a:r>
            <a:rPr kumimoji="1" lang="en-US" altLang="ja-JP" sz="1050">
              <a:latin typeface="ＭＳ Ｐ明朝" panose="02020600040205080304" pitchFamily="18" charset="-128"/>
              <a:ea typeface="ＭＳ Ｐ明朝" panose="02020600040205080304" pitchFamily="18" charset="-128"/>
            </a:rPr>
            <a:t>gshp2020</a:t>
          </a:r>
          <a:r>
            <a:rPr kumimoji="1" lang="ja-JP" altLang="en-US" sz="1050">
              <a:latin typeface="ＭＳ Ｐ明朝" panose="02020600040205080304" pitchFamily="18" charset="-128"/>
              <a:ea typeface="ＭＳ Ｐ明朝" panose="02020600040205080304" pitchFamily="18" charset="-128"/>
            </a:rPr>
            <a:t>」で解除できます。解除後にセル内の数式を変更しますと正しい計算ができなくなることがありますので、ご注意ください。</a:t>
          </a:r>
        </a:p>
        <a:p>
          <a:endParaRPr kumimoji="1" lang="ja-JP" altLang="en-US" sz="1050">
            <a:latin typeface="ＭＳ Ｐ明朝" panose="02020600040205080304" pitchFamily="18" charset="-128"/>
            <a:ea typeface="ＭＳ Ｐ明朝" panose="02020600040205080304" pitchFamily="18" charset="-128"/>
          </a:endParaRPr>
        </a:p>
      </xdr:txBody>
    </xdr:sp>
    <xdr:clientData/>
  </xdr:twoCellAnchor>
  <xdr:twoCellAnchor>
    <xdr:from>
      <xdr:col>1</xdr:col>
      <xdr:colOff>0</xdr:colOff>
      <xdr:row>39</xdr:row>
      <xdr:rowOff>35278</xdr:rowOff>
    </xdr:from>
    <xdr:to>
      <xdr:col>16</xdr:col>
      <xdr:colOff>0</xdr:colOff>
      <xdr:row>43</xdr:row>
      <xdr:rowOff>224896</xdr:rowOff>
    </xdr:to>
    <xdr:sp macro="" textlink="">
      <xdr:nvSpPr>
        <xdr:cNvPr id="3" name="テキスト ボックス 2">
          <a:extLst>
            <a:ext uri="{FF2B5EF4-FFF2-40B4-BE49-F238E27FC236}">
              <a16:creationId xmlns:a16="http://schemas.microsoft.com/office/drawing/2014/main" id="{44421F4D-F32B-477D-AA98-ABF1636E8EEF}"/>
            </a:ext>
          </a:extLst>
        </xdr:cNvPr>
        <xdr:cNvSpPr txBox="1"/>
      </xdr:nvSpPr>
      <xdr:spPr>
        <a:xfrm>
          <a:off x="82550" y="13992578"/>
          <a:ext cx="10274300" cy="15231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本シートの使用にあたっては、以下の注意事項を確認し、承諾したものとみなします</a:t>
          </a:r>
          <a:r>
            <a:rPr kumimoji="1" lang="en-US" altLang="ja-JP" sz="1050">
              <a:latin typeface="ＭＳ Ｐ明朝" panose="02020600040205080304" pitchFamily="18" charset="-128"/>
              <a:ea typeface="ＭＳ Ｐ明朝" panose="02020600040205080304" pitchFamily="18" charset="-128"/>
            </a:rPr>
            <a:t>】</a:t>
          </a: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「二重枠」に囲まれたセルにオープンループ型地中熱ヒートポンプシステムの諸元を入力することで、設計の妥当性を確認できます。</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オープンループのタイプによって入力・計算等が不要なセルはグレーアウトします。また、赤色のセルが出る場合は入力が適切でありません。確認してください。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は、地中熱ヒートポンプシステムの諸元を確認できる図面資料等と揃えてまとめて提出することで、審査の簡略化を図ることを意図して作成しています。算定結果の正しさを保証するものではありませんので、使用者の責任において使用してください。</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入力する数値の桁数は、右側の注意事項を確認して入力してください。指定の桁数を超えて入力しても、計算には反映されません。</a:t>
          </a:r>
          <a:endParaRPr kumimoji="1" lang="en-US" altLang="ja-JP" sz="1050">
            <a:latin typeface="ＭＳ Ｐ明朝" panose="02020600040205080304" pitchFamily="18" charset="-128"/>
            <a:ea typeface="ＭＳ Ｐ明朝" panose="02020600040205080304" pitchFamily="18" charset="-128"/>
          </a:endParaRPr>
        </a:p>
        <a:p>
          <a:r>
            <a:rPr kumimoji="1" lang="en-US" altLang="ja-JP" sz="1050">
              <a:latin typeface="ＭＳ Ｐ明朝" panose="02020600040205080304" pitchFamily="18" charset="-128"/>
              <a:ea typeface="ＭＳ Ｐ明朝" panose="02020600040205080304" pitchFamily="18" charset="-128"/>
            </a:rPr>
            <a:t>※</a:t>
          </a:r>
          <a:r>
            <a:rPr kumimoji="1" lang="ja-JP" altLang="en-US" sz="1050">
              <a:latin typeface="ＭＳ Ｐ明朝" panose="02020600040205080304" pitchFamily="18" charset="-128"/>
              <a:ea typeface="ＭＳ Ｐ明朝" panose="02020600040205080304" pitchFamily="18" charset="-128"/>
            </a:rPr>
            <a:t>本シートの使用にあたり操作が不要なセルについては、誤操作を防止するために「ロック」をかけています。ロックは「</a:t>
          </a:r>
          <a:r>
            <a:rPr kumimoji="1" lang="en-US" altLang="ja-JP" sz="1050">
              <a:latin typeface="ＭＳ Ｐ明朝" panose="02020600040205080304" pitchFamily="18" charset="-128"/>
              <a:ea typeface="ＭＳ Ｐ明朝" panose="02020600040205080304" pitchFamily="18" charset="-128"/>
            </a:rPr>
            <a:t>gshp2020</a:t>
          </a:r>
          <a:r>
            <a:rPr kumimoji="1" lang="ja-JP" altLang="en-US" sz="1050">
              <a:latin typeface="ＭＳ Ｐ明朝" panose="02020600040205080304" pitchFamily="18" charset="-128"/>
              <a:ea typeface="ＭＳ Ｐ明朝" panose="02020600040205080304" pitchFamily="18" charset="-128"/>
            </a:rPr>
            <a:t>」で解除できます。解除後にセル内の数式を変更しますと正しい計算ができなくなることがありますので、ご注意ください。</a:t>
          </a:r>
          <a:endParaRPr kumimoji="1" lang="en-US" altLang="ja-JP" sz="1050">
            <a:latin typeface="ＭＳ Ｐ明朝" panose="02020600040205080304" pitchFamily="18" charset="-128"/>
            <a:ea typeface="ＭＳ Ｐ明朝" panose="02020600040205080304" pitchFamily="18" charset="-128"/>
          </a:endParaRPr>
        </a:p>
        <a:p>
          <a:endParaRPr kumimoji="1" lang="en-US" altLang="ja-JP" sz="1050">
            <a:latin typeface="ＭＳ Ｐ明朝" panose="02020600040205080304" pitchFamily="18" charset="-128"/>
            <a:ea typeface="ＭＳ Ｐ明朝" panose="02020600040205080304" pitchFamily="18" charset="-128"/>
          </a:endParaRPr>
        </a:p>
        <a:p>
          <a:endParaRPr kumimoji="1" lang="ja-JP" altLang="en-US" sz="1050">
            <a:latin typeface="ＭＳ Ｐ明朝" panose="02020600040205080304" pitchFamily="18" charset="-128"/>
            <a:ea typeface="ＭＳ Ｐ明朝" panose="02020600040205080304" pitchFamily="18"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381000</xdr:colOff>
      <xdr:row>38</xdr:row>
      <xdr:rowOff>31750</xdr:rowOff>
    </xdr:from>
    <xdr:to>
      <xdr:col>1</xdr:col>
      <xdr:colOff>9271000</xdr:colOff>
      <xdr:row>101</xdr:row>
      <xdr:rowOff>120666</xdr:rowOff>
    </xdr:to>
    <xdr:pic>
      <xdr:nvPicPr>
        <xdr:cNvPr id="15" name="図 14">
          <a:extLst>
            <a:ext uri="{FF2B5EF4-FFF2-40B4-BE49-F238E27FC236}">
              <a16:creationId xmlns:a16="http://schemas.microsoft.com/office/drawing/2014/main" id="{87C92B20-2E0C-452A-A1D1-7F62088E4D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2600" y="13690600"/>
          <a:ext cx="8890000" cy="13290566"/>
        </a:xfrm>
        <a:prstGeom prst="rect">
          <a:avLst/>
        </a:prstGeom>
        <a:noFill/>
        <a:ln>
          <a:noFill/>
        </a:ln>
      </xdr:spPr>
    </xdr:pic>
    <xdr:clientData/>
  </xdr:twoCellAnchor>
  <xdr:twoCellAnchor>
    <xdr:from>
      <xdr:col>1</xdr:col>
      <xdr:colOff>1104900</xdr:colOff>
      <xdr:row>39</xdr:row>
      <xdr:rowOff>6348</xdr:rowOff>
    </xdr:from>
    <xdr:to>
      <xdr:col>1</xdr:col>
      <xdr:colOff>7664448</xdr:colOff>
      <xdr:row>92</xdr:row>
      <xdr:rowOff>6362</xdr:rowOff>
    </xdr:to>
    <xdr:grpSp>
      <xdr:nvGrpSpPr>
        <xdr:cNvPr id="3" name="グループ化 3">
          <a:extLst>
            <a:ext uri="{FF2B5EF4-FFF2-40B4-BE49-F238E27FC236}">
              <a16:creationId xmlns:a16="http://schemas.microsoft.com/office/drawing/2014/main" id="{C9E3F053-D243-4F98-91FA-FFD71E902EC6}"/>
            </a:ext>
          </a:extLst>
        </xdr:cNvPr>
        <xdr:cNvGrpSpPr>
          <a:grpSpLocks/>
        </xdr:cNvGrpSpPr>
      </xdr:nvGrpSpPr>
      <xdr:grpSpPr bwMode="auto">
        <a:xfrm>
          <a:off x="1206500" y="13995398"/>
          <a:ext cx="6559548" cy="11106164"/>
          <a:chOff x="1209254" y="15643056"/>
          <a:chExt cx="6568196" cy="10990381"/>
        </a:xfrm>
      </xdr:grpSpPr>
      <xdr:sp macro="" textlink="">
        <xdr:nvSpPr>
          <xdr:cNvPr id="4" name="テキスト ボックス 3">
            <a:extLst>
              <a:ext uri="{FF2B5EF4-FFF2-40B4-BE49-F238E27FC236}">
                <a16:creationId xmlns:a16="http://schemas.microsoft.com/office/drawing/2014/main" id="{F97A35CA-054D-4C06-9CAC-D45732105EA1}"/>
              </a:ext>
            </a:extLst>
          </xdr:cNvPr>
          <xdr:cNvSpPr txBox="1"/>
        </xdr:nvSpPr>
        <xdr:spPr bwMode="auto">
          <a:xfrm>
            <a:off x="4757225" y="15643056"/>
            <a:ext cx="883814" cy="546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①</a:t>
            </a:r>
          </a:p>
        </xdr:txBody>
      </xdr:sp>
      <xdr:sp macro="" textlink="">
        <xdr:nvSpPr>
          <xdr:cNvPr id="5" name="テキスト ボックス 4">
            <a:extLst>
              <a:ext uri="{FF2B5EF4-FFF2-40B4-BE49-F238E27FC236}">
                <a16:creationId xmlns:a16="http://schemas.microsoft.com/office/drawing/2014/main" id="{2A1A4878-A36B-458A-90B2-87637F67C4FC}"/>
              </a:ext>
            </a:extLst>
          </xdr:cNvPr>
          <xdr:cNvSpPr txBox="1"/>
        </xdr:nvSpPr>
        <xdr:spPr bwMode="auto">
          <a:xfrm>
            <a:off x="6899995" y="15737315"/>
            <a:ext cx="877455" cy="5466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②</a:t>
            </a:r>
          </a:p>
        </xdr:txBody>
      </xdr:sp>
      <xdr:sp macro="" textlink="">
        <xdr:nvSpPr>
          <xdr:cNvPr id="6" name="テキスト ボックス 5">
            <a:extLst>
              <a:ext uri="{FF2B5EF4-FFF2-40B4-BE49-F238E27FC236}">
                <a16:creationId xmlns:a16="http://schemas.microsoft.com/office/drawing/2014/main" id="{B82EAA51-9EB0-4823-9CCD-BCB5D6BA99E9}"/>
              </a:ext>
            </a:extLst>
          </xdr:cNvPr>
          <xdr:cNvSpPr txBox="1"/>
        </xdr:nvSpPr>
        <xdr:spPr bwMode="auto">
          <a:xfrm>
            <a:off x="1209254" y="16673615"/>
            <a:ext cx="864738"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③</a:t>
            </a:r>
          </a:p>
        </xdr:txBody>
      </xdr:sp>
      <xdr:sp macro="" textlink="">
        <xdr:nvSpPr>
          <xdr:cNvPr id="7" name="テキスト ボックス 6">
            <a:extLst>
              <a:ext uri="{FF2B5EF4-FFF2-40B4-BE49-F238E27FC236}">
                <a16:creationId xmlns:a16="http://schemas.microsoft.com/office/drawing/2014/main" id="{B1C61898-1E8A-479A-8A67-5017ED4C26D8}"/>
              </a:ext>
            </a:extLst>
          </xdr:cNvPr>
          <xdr:cNvSpPr txBox="1"/>
        </xdr:nvSpPr>
        <xdr:spPr bwMode="auto">
          <a:xfrm>
            <a:off x="4337573" y="16654760"/>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④</a:t>
            </a:r>
          </a:p>
        </xdr:txBody>
      </xdr:sp>
      <xdr:sp macro="" textlink="">
        <xdr:nvSpPr>
          <xdr:cNvPr id="8" name="テキスト ボックス 7">
            <a:extLst>
              <a:ext uri="{FF2B5EF4-FFF2-40B4-BE49-F238E27FC236}">
                <a16:creationId xmlns:a16="http://schemas.microsoft.com/office/drawing/2014/main" id="{FD9FD267-4855-4563-BEFB-9FE122559F7B}"/>
              </a:ext>
            </a:extLst>
          </xdr:cNvPr>
          <xdr:cNvSpPr txBox="1"/>
        </xdr:nvSpPr>
        <xdr:spPr bwMode="auto">
          <a:xfrm>
            <a:off x="3917920" y="17735590"/>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⑤</a:t>
            </a:r>
          </a:p>
        </xdr:txBody>
      </xdr:sp>
      <xdr:sp macro="" textlink="">
        <xdr:nvSpPr>
          <xdr:cNvPr id="16" name="テキスト ボックス 15">
            <a:extLst>
              <a:ext uri="{FF2B5EF4-FFF2-40B4-BE49-F238E27FC236}">
                <a16:creationId xmlns:a16="http://schemas.microsoft.com/office/drawing/2014/main" id="{59A734FC-205A-40FD-8CD4-0847EF6BD36E}"/>
              </a:ext>
            </a:extLst>
          </xdr:cNvPr>
          <xdr:cNvSpPr txBox="1"/>
        </xdr:nvSpPr>
        <xdr:spPr bwMode="auto">
          <a:xfrm>
            <a:off x="3917920" y="18376564"/>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⑥</a:t>
            </a:r>
          </a:p>
        </xdr:txBody>
      </xdr:sp>
      <xdr:sp macro="" textlink="">
        <xdr:nvSpPr>
          <xdr:cNvPr id="17" name="テキスト ボックス 16">
            <a:extLst>
              <a:ext uri="{FF2B5EF4-FFF2-40B4-BE49-F238E27FC236}">
                <a16:creationId xmlns:a16="http://schemas.microsoft.com/office/drawing/2014/main" id="{CE52CA0E-C2B3-41B7-B7E3-A4BDDB949498}"/>
              </a:ext>
            </a:extLst>
          </xdr:cNvPr>
          <xdr:cNvSpPr txBox="1"/>
        </xdr:nvSpPr>
        <xdr:spPr bwMode="auto">
          <a:xfrm>
            <a:off x="3708094" y="19212344"/>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⑦</a:t>
            </a:r>
          </a:p>
        </xdr:txBody>
      </xdr:sp>
      <xdr:sp macro="" textlink="">
        <xdr:nvSpPr>
          <xdr:cNvPr id="18" name="テキスト ボックス 17">
            <a:extLst>
              <a:ext uri="{FF2B5EF4-FFF2-40B4-BE49-F238E27FC236}">
                <a16:creationId xmlns:a16="http://schemas.microsoft.com/office/drawing/2014/main" id="{C9AF30FC-5EB3-422C-9B7A-B25EE2B2FEC1}"/>
              </a:ext>
            </a:extLst>
          </xdr:cNvPr>
          <xdr:cNvSpPr txBox="1"/>
        </xdr:nvSpPr>
        <xdr:spPr bwMode="auto">
          <a:xfrm>
            <a:off x="3708094" y="19595671"/>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⑧</a:t>
            </a:r>
          </a:p>
        </xdr:txBody>
      </xdr:sp>
      <xdr:sp macro="" textlink="">
        <xdr:nvSpPr>
          <xdr:cNvPr id="19" name="テキスト ボックス 18">
            <a:extLst>
              <a:ext uri="{FF2B5EF4-FFF2-40B4-BE49-F238E27FC236}">
                <a16:creationId xmlns:a16="http://schemas.microsoft.com/office/drawing/2014/main" id="{F01A3EAC-C99F-4A38-BE68-D9BD4A880783}"/>
              </a:ext>
            </a:extLst>
          </xdr:cNvPr>
          <xdr:cNvSpPr txBox="1"/>
        </xdr:nvSpPr>
        <xdr:spPr bwMode="auto">
          <a:xfrm>
            <a:off x="3708094" y="20136101"/>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⑨</a:t>
            </a:r>
          </a:p>
        </xdr:txBody>
      </xdr:sp>
      <xdr:sp macro="" textlink="">
        <xdr:nvSpPr>
          <xdr:cNvPr id="20" name="テキスト ボックス 19">
            <a:extLst>
              <a:ext uri="{FF2B5EF4-FFF2-40B4-BE49-F238E27FC236}">
                <a16:creationId xmlns:a16="http://schemas.microsoft.com/office/drawing/2014/main" id="{E591A976-1EE7-4192-891E-A0989D2DA32C}"/>
              </a:ext>
            </a:extLst>
          </xdr:cNvPr>
          <xdr:cNvSpPr txBox="1"/>
        </xdr:nvSpPr>
        <xdr:spPr bwMode="auto">
          <a:xfrm>
            <a:off x="3708094" y="21776240"/>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⑩</a:t>
            </a:r>
          </a:p>
        </xdr:txBody>
      </xdr:sp>
      <xdr:sp macro="" textlink="">
        <xdr:nvSpPr>
          <xdr:cNvPr id="34" name="テキスト ボックス 33">
            <a:extLst>
              <a:ext uri="{FF2B5EF4-FFF2-40B4-BE49-F238E27FC236}">
                <a16:creationId xmlns:a16="http://schemas.microsoft.com/office/drawing/2014/main" id="{8C04E7FE-C020-419D-8368-33FE720C3927}"/>
              </a:ext>
            </a:extLst>
          </xdr:cNvPr>
          <xdr:cNvSpPr txBox="1"/>
        </xdr:nvSpPr>
        <xdr:spPr bwMode="auto">
          <a:xfrm>
            <a:off x="3708094" y="23680309"/>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⑪</a:t>
            </a:r>
          </a:p>
        </xdr:txBody>
      </xdr:sp>
      <xdr:sp macro="" textlink="">
        <xdr:nvSpPr>
          <xdr:cNvPr id="36" name="テキスト ボックス 35">
            <a:extLst>
              <a:ext uri="{FF2B5EF4-FFF2-40B4-BE49-F238E27FC236}">
                <a16:creationId xmlns:a16="http://schemas.microsoft.com/office/drawing/2014/main" id="{6536A581-6509-47B7-88EC-D1807E9E5879}"/>
              </a:ext>
            </a:extLst>
          </xdr:cNvPr>
          <xdr:cNvSpPr txBox="1"/>
        </xdr:nvSpPr>
        <xdr:spPr bwMode="auto">
          <a:xfrm>
            <a:off x="3708094" y="25105395"/>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⑫</a:t>
            </a:r>
          </a:p>
        </xdr:txBody>
      </xdr:sp>
      <xdr:sp macro="" textlink="">
        <xdr:nvSpPr>
          <xdr:cNvPr id="38" name="テキスト ボックス 37">
            <a:extLst>
              <a:ext uri="{FF2B5EF4-FFF2-40B4-BE49-F238E27FC236}">
                <a16:creationId xmlns:a16="http://schemas.microsoft.com/office/drawing/2014/main" id="{3D66FFA6-BB8D-4D46-AE3D-C4BFE26377E1}"/>
              </a:ext>
            </a:extLst>
          </xdr:cNvPr>
          <xdr:cNvSpPr txBox="1"/>
        </xdr:nvSpPr>
        <xdr:spPr bwMode="auto">
          <a:xfrm>
            <a:off x="3708094" y="26080454"/>
            <a:ext cx="877455" cy="5529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⑬</a:t>
            </a:r>
          </a:p>
        </xdr:txBody>
      </xdr:sp>
    </xdr:grpSp>
    <xdr:clientData/>
  </xdr:twoCellAnchor>
  <xdr:twoCellAnchor>
    <xdr:from>
      <xdr:col>1</xdr:col>
      <xdr:colOff>3956050</xdr:colOff>
      <xdr:row>65</xdr:row>
      <xdr:rowOff>82550</xdr:rowOff>
    </xdr:from>
    <xdr:to>
      <xdr:col>1</xdr:col>
      <xdr:colOff>4140200</xdr:colOff>
      <xdr:row>73</xdr:row>
      <xdr:rowOff>158750</xdr:rowOff>
    </xdr:to>
    <xdr:sp macro="" textlink="">
      <xdr:nvSpPr>
        <xdr:cNvPr id="21" name="右中かっこ 4">
          <a:extLst>
            <a:ext uri="{FF2B5EF4-FFF2-40B4-BE49-F238E27FC236}">
              <a16:creationId xmlns:a16="http://schemas.microsoft.com/office/drawing/2014/main" id="{45E130E1-E5CF-450D-8D71-07BA9A588DD2}"/>
            </a:ext>
          </a:extLst>
        </xdr:cNvPr>
        <xdr:cNvSpPr>
          <a:spLocks/>
        </xdr:cNvSpPr>
      </xdr:nvSpPr>
      <xdr:spPr bwMode="auto">
        <a:xfrm flipH="1">
          <a:off x="4057650" y="19399250"/>
          <a:ext cx="184150" cy="1752600"/>
        </a:xfrm>
        <a:prstGeom prst="rightBrace">
          <a:avLst>
            <a:gd name="adj1" fmla="val 47128"/>
            <a:gd name="adj2" fmla="val 50000"/>
          </a:avLst>
        </a:prstGeom>
        <a:noFill/>
        <a:ln w="9525" algn="ctr">
          <a:solidFill>
            <a:srgbClr val="FF0000"/>
          </a:solidFill>
          <a:round/>
          <a:headEnd/>
          <a:tailEnd/>
        </a:ln>
        <a:effectLst/>
      </xdr:spPr>
    </xdr:sp>
    <xdr:clientData/>
  </xdr:twoCellAnchor>
  <xdr:twoCellAnchor>
    <xdr:from>
      <xdr:col>1</xdr:col>
      <xdr:colOff>3956050</xdr:colOff>
      <xdr:row>76</xdr:row>
      <xdr:rowOff>0</xdr:rowOff>
    </xdr:from>
    <xdr:to>
      <xdr:col>1</xdr:col>
      <xdr:colOff>4095750</xdr:colOff>
      <xdr:row>82</xdr:row>
      <xdr:rowOff>107950</xdr:rowOff>
    </xdr:to>
    <xdr:sp macro="" textlink="">
      <xdr:nvSpPr>
        <xdr:cNvPr id="35" name="右中かっこ 4">
          <a:extLst>
            <a:ext uri="{FF2B5EF4-FFF2-40B4-BE49-F238E27FC236}">
              <a16:creationId xmlns:a16="http://schemas.microsoft.com/office/drawing/2014/main" id="{407ED782-C1FC-449A-81A2-A4616E67BBD9}"/>
            </a:ext>
          </a:extLst>
        </xdr:cNvPr>
        <xdr:cNvSpPr>
          <a:spLocks/>
        </xdr:cNvSpPr>
      </xdr:nvSpPr>
      <xdr:spPr bwMode="auto">
        <a:xfrm flipH="1">
          <a:off x="4058183" y="21581119"/>
          <a:ext cx="139700" cy="1360188"/>
        </a:xfrm>
        <a:prstGeom prst="rightBrace">
          <a:avLst>
            <a:gd name="adj1" fmla="val 47128"/>
            <a:gd name="adj2" fmla="val 44124"/>
          </a:avLst>
        </a:prstGeom>
        <a:noFill/>
        <a:ln w="9525" algn="ctr">
          <a:solidFill>
            <a:srgbClr val="FF0000"/>
          </a:solidFill>
          <a:round/>
          <a:headEnd/>
          <a:tailEnd/>
        </a:ln>
        <a:effectLst/>
      </xdr:spPr>
    </xdr:sp>
    <xdr:clientData/>
  </xdr:twoCellAnchor>
  <xdr:twoCellAnchor>
    <xdr:from>
      <xdr:col>1</xdr:col>
      <xdr:colOff>3956049</xdr:colOff>
      <xdr:row>84</xdr:row>
      <xdr:rowOff>124336</xdr:rowOff>
    </xdr:from>
    <xdr:to>
      <xdr:col>1</xdr:col>
      <xdr:colOff>4076432</xdr:colOff>
      <xdr:row>87</xdr:row>
      <xdr:rowOff>150979</xdr:rowOff>
    </xdr:to>
    <xdr:sp macro="" textlink="">
      <xdr:nvSpPr>
        <xdr:cNvPr id="37" name="右中かっこ 4">
          <a:extLst>
            <a:ext uri="{FF2B5EF4-FFF2-40B4-BE49-F238E27FC236}">
              <a16:creationId xmlns:a16="http://schemas.microsoft.com/office/drawing/2014/main" id="{4475DD22-5272-49FA-8AE7-6BE3441C395A}"/>
            </a:ext>
          </a:extLst>
        </xdr:cNvPr>
        <xdr:cNvSpPr>
          <a:spLocks/>
        </xdr:cNvSpPr>
      </xdr:nvSpPr>
      <xdr:spPr bwMode="auto">
        <a:xfrm flipH="1">
          <a:off x="4058182" y="23375105"/>
          <a:ext cx="120383" cy="652762"/>
        </a:xfrm>
        <a:prstGeom prst="rightBrace">
          <a:avLst>
            <a:gd name="adj1" fmla="val 47128"/>
            <a:gd name="adj2" fmla="val 34600"/>
          </a:avLst>
        </a:prstGeom>
        <a:noFill/>
        <a:ln w="9525" algn="ctr">
          <a:solidFill>
            <a:srgbClr val="FF0000"/>
          </a:solidFill>
          <a:round/>
          <a:headEnd/>
          <a:tailEnd/>
        </a:ln>
        <a:effectLst/>
      </xdr:spPr>
    </xdr:sp>
    <xdr:clientData/>
  </xdr:twoCellAnchor>
  <xdr:twoCellAnchor>
    <xdr:from>
      <xdr:col>1</xdr:col>
      <xdr:colOff>3956050</xdr:colOff>
      <xdr:row>87</xdr:row>
      <xdr:rowOff>208706</xdr:rowOff>
    </xdr:from>
    <xdr:to>
      <xdr:col>1</xdr:col>
      <xdr:colOff>4098636</xdr:colOff>
      <xdr:row>92</xdr:row>
      <xdr:rowOff>185392</xdr:rowOff>
    </xdr:to>
    <xdr:sp macro="" textlink="">
      <xdr:nvSpPr>
        <xdr:cNvPr id="40" name="右中かっこ 4">
          <a:extLst>
            <a:ext uri="{FF2B5EF4-FFF2-40B4-BE49-F238E27FC236}">
              <a16:creationId xmlns:a16="http://schemas.microsoft.com/office/drawing/2014/main" id="{5BBC1F61-D6FD-46CB-9FA1-7B13196608ED}"/>
            </a:ext>
          </a:extLst>
        </xdr:cNvPr>
        <xdr:cNvSpPr>
          <a:spLocks/>
        </xdr:cNvSpPr>
      </xdr:nvSpPr>
      <xdr:spPr bwMode="auto">
        <a:xfrm flipH="1">
          <a:off x="4058183" y="24085594"/>
          <a:ext cx="142586" cy="1020218"/>
        </a:xfrm>
        <a:prstGeom prst="rightBrace">
          <a:avLst>
            <a:gd name="adj1" fmla="val 47128"/>
            <a:gd name="adj2" fmla="val 50000"/>
          </a:avLst>
        </a:prstGeom>
        <a:noFill/>
        <a:ln w="9525" algn="ctr">
          <a:solidFill>
            <a:srgbClr val="FF0000"/>
          </a:solidFill>
          <a:round/>
          <a:headEnd/>
          <a:tailEnd/>
        </a:ln>
        <a:effectLst/>
      </xdr:spPr>
    </xdr:sp>
    <xdr:clientData/>
  </xdr:twoCellAnchor>
  <xdr:twoCellAnchor>
    <xdr:from>
      <xdr:col>1</xdr:col>
      <xdr:colOff>1896119</xdr:colOff>
      <xdr:row>92</xdr:row>
      <xdr:rowOff>124335</xdr:rowOff>
    </xdr:from>
    <xdr:to>
      <xdr:col>1</xdr:col>
      <xdr:colOff>2772419</xdr:colOff>
      <xdr:row>95</xdr:row>
      <xdr:rowOff>54776</xdr:rowOff>
    </xdr:to>
    <xdr:sp macro="" textlink="">
      <xdr:nvSpPr>
        <xdr:cNvPr id="41" name="テキスト ボックス 40">
          <a:extLst>
            <a:ext uri="{FF2B5EF4-FFF2-40B4-BE49-F238E27FC236}">
              <a16:creationId xmlns:a16="http://schemas.microsoft.com/office/drawing/2014/main" id="{960A30F6-E088-4BC6-A429-8832623F1D5C}"/>
            </a:ext>
          </a:extLst>
        </xdr:cNvPr>
        <xdr:cNvSpPr txBox="1"/>
      </xdr:nvSpPr>
      <xdr:spPr bwMode="auto">
        <a:xfrm>
          <a:off x="1998252" y="25044755"/>
          <a:ext cx="876300" cy="5565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⑭</a:t>
          </a:r>
        </a:p>
      </xdr:txBody>
    </xdr:sp>
    <xdr:clientData/>
  </xdr:twoCellAnchor>
  <xdr:twoCellAnchor editAs="oneCell">
    <xdr:from>
      <xdr:col>1</xdr:col>
      <xdr:colOff>379619</xdr:colOff>
      <xdr:row>104</xdr:row>
      <xdr:rowOff>13803</xdr:rowOff>
    </xdr:from>
    <xdr:to>
      <xdr:col>1</xdr:col>
      <xdr:colOff>9268019</xdr:colOff>
      <xdr:row>165</xdr:row>
      <xdr:rowOff>69936</xdr:rowOff>
    </xdr:to>
    <xdr:pic>
      <xdr:nvPicPr>
        <xdr:cNvPr id="42" name="図 41">
          <a:extLst>
            <a:ext uri="{FF2B5EF4-FFF2-40B4-BE49-F238E27FC236}">
              <a16:creationId xmlns:a16="http://schemas.microsoft.com/office/drawing/2014/main" id="{3411D8CD-98A8-44FF-9B0C-2D39623A35B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3152" y="27532770"/>
          <a:ext cx="8888400" cy="12687112"/>
        </a:xfrm>
        <a:prstGeom prst="rect">
          <a:avLst/>
        </a:prstGeom>
        <a:noFill/>
        <a:ln>
          <a:noFill/>
        </a:ln>
      </xdr:spPr>
    </xdr:pic>
    <xdr:clientData/>
  </xdr:twoCellAnchor>
  <xdr:twoCellAnchor>
    <xdr:from>
      <xdr:col>1</xdr:col>
      <xdr:colOff>4969565</xdr:colOff>
      <xdr:row>116</xdr:row>
      <xdr:rowOff>6902</xdr:rowOff>
    </xdr:from>
    <xdr:to>
      <xdr:col>1</xdr:col>
      <xdr:colOff>5845865</xdr:colOff>
      <xdr:row>118</xdr:row>
      <xdr:rowOff>144409</xdr:rowOff>
    </xdr:to>
    <xdr:sp macro="" textlink="">
      <xdr:nvSpPr>
        <xdr:cNvPr id="43" name="テキスト ボックス 42">
          <a:extLst>
            <a:ext uri="{FF2B5EF4-FFF2-40B4-BE49-F238E27FC236}">
              <a16:creationId xmlns:a16="http://schemas.microsoft.com/office/drawing/2014/main" id="{9DC5B4A6-84B2-4090-B55D-21EA4051CC0C}"/>
            </a:ext>
          </a:extLst>
        </xdr:cNvPr>
        <xdr:cNvSpPr txBox="1"/>
      </xdr:nvSpPr>
      <xdr:spPr bwMode="auto">
        <a:xfrm>
          <a:off x="5073098" y="30010652"/>
          <a:ext cx="876300" cy="551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⑮</a:t>
          </a:r>
        </a:p>
      </xdr:txBody>
    </xdr:sp>
    <xdr:clientData/>
  </xdr:twoCellAnchor>
  <xdr:twoCellAnchor>
    <xdr:from>
      <xdr:col>1</xdr:col>
      <xdr:colOff>4810816</xdr:colOff>
      <xdr:row>113</xdr:row>
      <xdr:rowOff>158750</xdr:rowOff>
    </xdr:from>
    <xdr:to>
      <xdr:col>1</xdr:col>
      <xdr:colOff>5066196</xdr:colOff>
      <xdr:row>122</xdr:row>
      <xdr:rowOff>96631</xdr:rowOff>
    </xdr:to>
    <xdr:sp macro="" textlink="">
      <xdr:nvSpPr>
        <xdr:cNvPr id="44" name="右中かっこ 4">
          <a:extLst>
            <a:ext uri="{FF2B5EF4-FFF2-40B4-BE49-F238E27FC236}">
              <a16:creationId xmlns:a16="http://schemas.microsoft.com/office/drawing/2014/main" id="{A9CFF9AB-D653-4BA2-82BD-EDE8655158EB}"/>
            </a:ext>
          </a:extLst>
        </xdr:cNvPr>
        <xdr:cNvSpPr>
          <a:spLocks/>
        </xdr:cNvSpPr>
      </xdr:nvSpPr>
      <xdr:spPr bwMode="auto">
        <a:xfrm>
          <a:off x="4914349" y="29541304"/>
          <a:ext cx="255380" cy="1801468"/>
        </a:xfrm>
        <a:prstGeom prst="rightBrace">
          <a:avLst>
            <a:gd name="adj1" fmla="val 47128"/>
            <a:gd name="adj2" fmla="val 40038"/>
          </a:avLst>
        </a:prstGeom>
        <a:noFill/>
        <a:ln w="9525" algn="ctr">
          <a:solidFill>
            <a:srgbClr val="FF0000"/>
          </a:solidFill>
          <a:round/>
          <a:headEnd/>
          <a:tailEnd/>
        </a:ln>
        <a:effectLst/>
      </xdr:spPr>
    </xdr:sp>
    <xdr:clientData/>
  </xdr:twoCellAnchor>
  <xdr:twoCellAnchor>
    <xdr:from>
      <xdr:col>1</xdr:col>
      <xdr:colOff>5004076</xdr:colOff>
      <xdr:row>138</xdr:row>
      <xdr:rowOff>144945</xdr:rowOff>
    </xdr:from>
    <xdr:to>
      <xdr:col>1</xdr:col>
      <xdr:colOff>5880376</xdr:colOff>
      <xdr:row>141</xdr:row>
      <xdr:rowOff>75387</xdr:rowOff>
    </xdr:to>
    <xdr:sp macro="" textlink="">
      <xdr:nvSpPr>
        <xdr:cNvPr id="45" name="テキスト ボックス 44">
          <a:extLst>
            <a:ext uri="{FF2B5EF4-FFF2-40B4-BE49-F238E27FC236}">
              <a16:creationId xmlns:a16="http://schemas.microsoft.com/office/drawing/2014/main" id="{B39BF8D9-AF9E-45A2-AE01-95DA4C4413C2}"/>
            </a:ext>
          </a:extLst>
        </xdr:cNvPr>
        <xdr:cNvSpPr txBox="1"/>
      </xdr:nvSpPr>
      <xdr:spPr bwMode="auto">
        <a:xfrm>
          <a:off x="5107609" y="34704130"/>
          <a:ext cx="876300" cy="5516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800">
              <a:solidFill>
                <a:srgbClr val="FF0000"/>
              </a:solidFill>
            </a:rPr>
            <a:t>⑯</a:t>
          </a:r>
        </a:p>
      </xdr:txBody>
    </xdr:sp>
    <xdr:clientData/>
  </xdr:twoCellAnchor>
  <xdr:twoCellAnchor>
    <xdr:from>
      <xdr:col>1</xdr:col>
      <xdr:colOff>4810816</xdr:colOff>
      <xdr:row>127</xdr:row>
      <xdr:rowOff>55217</xdr:rowOff>
    </xdr:from>
    <xdr:to>
      <xdr:col>1</xdr:col>
      <xdr:colOff>5052391</xdr:colOff>
      <xdr:row>158</xdr:row>
      <xdr:rowOff>117336</xdr:rowOff>
    </xdr:to>
    <xdr:sp macro="" textlink="">
      <xdr:nvSpPr>
        <xdr:cNvPr id="46" name="右中かっこ 4">
          <a:extLst>
            <a:ext uri="{FF2B5EF4-FFF2-40B4-BE49-F238E27FC236}">
              <a16:creationId xmlns:a16="http://schemas.microsoft.com/office/drawing/2014/main" id="{5B85A5F8-4660-4643-BF5E-494B86E95E05}"/>
            </a:ext>
          </a:extLst>
        </xdr:cNvPr>
        <xdr:cNvSpPr>
          <a:spLocks/>
        </xdr:cNvSpPr>
      </xdr:nvSpPr>
      <xdr:spPr bwMode="auto">
        <a:xfrm>
          <a:off x="4914349" y="32336684"/>
          <a:ext cx="241575" cy="6481141"/>
        </a:xfrm>
        <a:prstGeom prst="rightBrace">
          <a:avLst>
            <a:gd name="adj1" fmla="val 47128"/>
            <a:gd name="adj2" fmla="val 40038"/>
          </a:avLst>
        </a:prstGeom>
        <a:noFill/>
        <a:ln w="9525" algn="ctr">
          <a:solidFill>
            <a:srgbClr val="FF0000"/>
          </a:solidFill>
          <a:round/>
          <a:headEnd/>
          <a:tailEn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704F-BDAB-47E1-9279-F190D8C6F9A0}">
  <dimension ref="A1:BK59"/>
  <sheetViews>
    <sheetView zoomScaleNormal="100" workbookViewId="0">
      <selection activeCell="L2" sqref="L2:P2"/>
    </sheetView>
  </sheetViews>
  <sheetFormatPr defaultColWidth="8.75" defaultRowHeight="15.65" customHeight="1"/>
  <cols>
    <col min="1" max="1" width="1.08203125" style="33" customWidth="1"/>
    <col min="2" max="4" width="8.5" style="33" customWidth="1"/>
    <col min="5" max="5" width="8.5" style="34" customWidth="1"/>
    <col min="6" max="6" width="8.5" style="33" customWidth="1"/>
    <col min="7" max="7" width="10.08203125" style="33" customWidth="1"/>
    <col min="8" max="9" width="8.5" style="33" customWidth="1"/>
    <col min="10" max="10" width="10.5" style="33" customWidth="1"/>
    <col min="11" max="15" width="8.5" style="33" customWidth="1"/>
    <col min="16" max="16" width="12.25" style="33" customWidth="1"/>
    <col min="17" max="17" width="0.6640625" style="33" customWidth="1"/>
    <col min="18" max="16384" width="8.75" style="33"/>
  </cols>
  <sheetData>
    <row r="1" spans="1:63" ht="9.5" customHeight="1" thickBot="1">
      <c r="U1" s="35" t="s">
        <v>129</v>
      </c>
      <c r="V1" s="35" t="s">
        <v>130</v>
      </c>
      <c r="W1" s="35" t="s">
        <v>131</v>
      </c>
      <c r="X1" s="35" t="s">
        <v>132</v>
      </c>
      <c r="Y1" s="35" t="s">
        <v>133</v>
      </c>
      <c r="Z1" s="35"/>
      <c r="AA1" s="35"/>
      <c r="AB1" s="35"/>
      <c r="AC1" s="35"/>
      <c r="AD1" s="35"/>
      <c r="AE1" s="35">
        <f>ROW(タイプA)</f>
        <v>11</v>
      </c>
      <c r="AF1" s="35"/>
      <c r="AG1" s="35"/>
      <c r="AH1" s="35"/>
    </row>
    <row r="2" spans="1:63" ht="36.5" customHeight="1" thickTop="1" thickBot="1">
      <c r="B2" s="132" t="s">
        <v>127</v>
      </c>
      <c r="C2" s="133"/>
      <c r="D2" s="133"/>
      <c r="E2" s="133"/>
      <c r="F2" s="133"/>
      <c r="G2" s="133"/>
      <c r="H2" s="133"/>
      <c r="I2" s="133"/>
      <c r="J2" s="134"/>
      <c r="K2" s="36" t="s">
        <v>25</v>
      </c>
      <c r="L2" s="135"/>
      <c r="M2" s="136"/>
      <c r="N2" s="136"/>
      <c r="O2" s="136"/>
      <c r="P2" s="137"/>
      <c r="U2" s="35" t="s">
        <v>134</v>
      </c>
      <c r="V2" s="35">
        <v>0</v>
      </c>
      <c r="W2" s="35">
        <v>0</v>
      </c>
      <c r="X2" s="35">
        <v>0</v>
      </c>
      <c r="Y2" s="35">
        <v>0</v>
      </c>
      <c r="Z2" s="37" t="s">
        <v>32</v>
      </c>
      <c r="AA2" s="35" t="s">
        <v>2</v>
      </c>
      <c r="AB2" s="35">
        <f>1000*60</f>
        <v>60000</v>
      </c>
      <c r="AC2" s="35" t="s">
        <v>20</v>
      </c>
      <c r="AD2" s="35">
        <v>1000</v>
      </c>
      <c r="AE2" s="35">
        <f>COLUMN(タイプA)</f>
        <v>21</v>
      </c>
      <c r="AF2" s="35"/>
      <c r="AG2" s="35"/>
      <c r="AH2" s="35"/>
    </row>
    <row r="3" spans="1:63" ht="35" customHeight="1" thickTop="1" thickBot="1">
      <c r="B3" s="138" t="s">
        <v>97</v>
      </c>
      <c r="C3" s="139"/>
      <c r="D3" s="139"/>
      <c r="E3" s="139"/>
      <c r="F3" s="139"/>
      <c r="G3" s="139"/>
      <c r="H3" s="139"/>
      <c r="I3" s="139"/>
      <c r="J3" s="140"/>
      <c r="K3" s="38" t="s">
        <v>24</v>
      </c>
      <c r="L3" s="141"/>
      <c r="M3" s="136"/>
      <c r="N3" s="136"/>
      <c r="O3" s="136"/>
      <c r="P3" s="137"/>
      <c r="Q3" s="39"/>
      <c r="U3" s="35" t="s">
        <v>135</v>
      </c>
      <c r="V3" s="35">
        <v>0</v>
      </c>
      <c r="W3" s="35">
        <v>0</v>
      </c>
      <c r="X3" s="35">
        <v>0</v>
      </c>
      <c r="Y3" s="35">
        <v>0</v>
      </c>
      <c r="Z3" s="37" t="s">
        <v>33</v>
      </c>
      <c r="AA3" s="35" t="s">
        <v>13</v>
      </c>
      <c r="AB3" s="35">
        <f>60*60</f>
        <v>3600</v>
      </c>
      <c r="AC3" s="35" t="s">
        <v>21</v>
      </c>
      <c r="AD3" s="35">
        <v>100</v>
      </c>
      <c r="AE3" s="35">
        <f>COLUMN(タイプB)</f>
        <v>28</v>
      </c>
      <c r="AF3" s="35"/>
      <c r="AG3" s="35"/>
      <c r="AH3" s="35"/>
    </row>
    <row r="4" spans="1:63" ht="8.5" customHeight="1" thickTop="1">
      <c r="B4" s="40"/>
      <c r="C4" s="40"/>
      <c r="D4" s="40"/>
      <c r="E4" s="41"/>
      <c r="F4" s="40"/>
      <c r="G4" s="40"/>
      <c r="H4" s="40"/>
      <c r="I4" s="40"/>
      <c r="J4" s="40"/>
      <c r="K4" s="40"/>
      <c r="L4" s="42"/>
      <c r="M4" s="42"/>
      <c r="N4" s="42"/>
      <c r="O4" s="42"/>
      <c r="P4" s="42"/>
      <c r="U4" s="35" t="s">
        <v>136</v>
      </c>
      <c r="V4" s="35">
        <v>-2</v>
      </c>
      <c r="W4" s="35">
        <v>3</v>
      </c>
      <c r="X4" s="35">
        <v>0</v>
      </c>
      <c r="Y4" s="35">
        <v>0</v>
      </c>
      <c r="Z4" s="37" t="s">
        <v>34</v>
      </c>
      <c r="AA4" s="35" t="s">
        <v>14</v>
      </c>
      <c r="AB4" s="35">
        <v>1</v>
      </c>
      <c r="AC4" s="35" t="s">
        <v>22</v>
      </c>
      <c r="AD4" s="35">
        <v>1</v>
      </c>
      <c r="AE4" s="35">
        <f>COLUMN(タイプC)</f>
        <v>35</v>
      </c>
      <c r="AF4" s="35"/>
      <c r="AG4" s="35"/>
      <c r="AH4" s="35"/>
    </row>
    <row r="5" spans="1:63" ht="24" customHeight="1" thickBot="1">
      <c r="A5" s="43"/>
      <c r="B5" s="142" t="s">
        <v>26</v>
      </c>
      <c r="C5" s="142"/>
      <c r="D5" s="142"/>
      <c r="E5" s="142"/>
      <c r="F5" s="142"/>
      <c r="G5" s="142"/>
      <c r="H5" s="142" t="s">
        <v>63</v>
      </c>
      <c r="I5" s="142"/>
      <c r="J5" s="142"/>
      <c r="K5" s="142"/>
      <c r="L5" s="142"/>
      <c r="M5" s="142"/>
      <c r="N5" s="142"/>
      <c r="O5" s="142"/>
      <c r="P5" s="142"/>
      <c r="Q5" s="39"/>
      <c r="U5" s="35" t="s">
        <v>137</v>
      </c>
      <c r="V5" s="35">
        <v>0</v>
      </c>
      <c r="W5" s="35">
        <v>0</v>
      </c>
      <c r="X5" s="35">
        <v>-2</v>
      </c>
      <c r="Y5" s="35">
        <v>3</v>
      </c>
      <c r="Z5" s="37" t="s">
        <v>35</v>
      </c>
      <c r="AA5" s="35"/>
      <c r="AB5" s="35"/>
      <c r="AC5" s="35"/>
      <c r="AD5" s="35"/>
      <c r="AE5" s="35">
        <f>COLUMN(タイプD)</f>
        <v>42</v>
      </c>
      <c r="AF5" s="35"/>
      <c r="AG5" s="35"/>
      <c r="AH5" s="35"/>
    </row>
    <row r="6" spans="1:63" ht="35" customHeight="1" thickTop="1" thickBot="1">
      <c r="A6" s="43"/>
      <c r="B6" s="143"/>
      <c r="C6" s="144"/>
      <c r="D6" s="144"/>
      <c r="E6" s="144"/>
      <c r="F6" s="144"/>
      <c r="G6" s="144"/>
      <c r="H6" s="144"/>
      <c r="I6" s="144"/>
      <c r="J6" s="144"/>
      <c r="K6" s="144"/>
      <c r="L6" s="144"/>
      <c r="M6" s="144"/>
      <c r="N6" s="144"/>
      <c r="O6" s="144"/>
      <c r="P6" s="144"/>
      <c r="Q6" s="39"/>
      <c r="U6" s="35" t="s">
        <v>138</v>
      </c>
      <c r="V6" s="35">
        <v>0</v>
      </c>
      <c r="W6" s="35">
        <v>0</v>
      </c>
      <c r="X6" s="35">
        <v>-2</v>
      </c>
      <c r="Y6" s="35">
        <v>3</v>
      </c>
      <c r="Z6" s="37" t="s">
        <v>36</v>
      </c>
      <c r="AA6" s="35"/>
      <c r="AB6" s="35"/>
      <c r="AC6" s="35"/>
      <c r="AD6" s="35"/>
      <c r="AE6" s="35">
        <f>COLUMN(タイプE)</f>
        <v>49</v>
      </c>
      <c r="AF6" s="35"/>
      <c r="AG6" s="35"/>
      <c r="AH6" s="35"/>
    </row>
    <row r="7" spans="1:63" ht="7.5" customHeight="1" thickTop="1">
      <c r="B7" s="44"/>
      <c r="C7" s="44"/>
      <c r="D7" s="44"/>
      <c r="E7" s="45"/>
      <c r="F7" s="44"/>
      <c r="G7" s="44"/>
      <c r="H7" s="44"/>
      <c r="I7" s="44"/>
      <c r="J7" s="44"/>
      <c r="K7" s="44"/>
      <c r="L7" s="44"/>
      <c r="M7" s="44"/>
      <c r="N7" s="44"/>
      <c r="O7" s="44"/>
      <c r="P7" s="44"/>
      <c r="U7" s="35" t="s">
        <v>139</v>
      </c>
      <c r="V7" s="35">
        <v>-2</v>
      </c>
      <c r="W7" s="35">
        <v>3</v>
      </c>
      <c r="X7" s="35">
        <v>-2</v>
      </c>
      <c r="Y7" s="35">
        <v>3</v>
      </c>
      <c r="Z7" s="37" t="s">
        <v>37</v>
      </c>
      <c r="AA7" s="35"/>
      <c r="AB7" s="35"/>
      <c r="AC7" s="35"/>
      <c r="AD7" s="35"/>
      <c r="AE7" s="35">
        <f>COLUMN(タイプF)</f>
        <v>56</v>
      </c>
      <c r="AF7" s="35"/>
      <c r="AG7" s="35"/>
      <c r="AH7" s="35"/>
    </row>
    <row r="8" spans="1:63" ht="15.65" customHeight="1">
      <c r="B8" s="40" t="s">
        <v>3</v>
      </c>
      <c r="C8" s="40"/>
      <c r="D8" s="40"/>
      <c r="E8" s="40"/>
      <c r="F8" s="40"/>
      <c r="G8" s="40"/>
      <c r="H8" s="40"/>
      <c r="I8" s="41"/>
      <c r="J8" s="46"/>
      <c r="K8" s="40"/>
      <c r="L8" s="40"/>
      <c r="M8" s="40"/>
      <c r="N8" s="40"/>
      <c r="O8" s="40"/>
      <c r="P8" s="47" t="s">
        <v>77</v>
      </c>
      <c r="U8" s="35"/>
      <c r="V8" s="35"/>
      <c r="W8" s="35"/>
      <c r="X8" s="35"/>
      <c r="Y8" s="35"/>
      <c r="Z8" s="35"/>
      <c r="AA8" s="35"/>
      <c r="AB8" s="35"/>
      <c r="AC8" s="35"/>
      <c r="AD8" s="35"/>
      <c r="AE8" s="35"/>
      <c r="AF8" s="35"/>
      <c r="AG8" s="35"/>
      <c r="AH8" s="35"/>
    </row>
    <row r="9" spans="1:63" ht="37" customHeight="1" thickBot="1">
      <c r="A9" s="43"/>
      <c r="B9" s="115" t="s">
        <v>27</v>
      </c>
      <c r="C9" s="115"/>
      <c r="D9" s="115"/>
      <c r="E9" s="115"/>
      <c r="F9" s="115"/>
      <c r="G9" s="48" t="s">
        <v>28</v>
      </c>
      <c r="H9" s="116" t="s">
        <v>29</v>
      </c>
      <c r="I9" s="116"/>
      <c r="J9" s="145" t="s">
        <v>113</v>
      </c>
      <c r="K9" s="115"/>
      <c r="L9" s="115"/>
      <c r="M9" s="115"/>
      <c r="N9" s="115"/>
      <c r="O9" s="115"/>
      <c r="P9" s="115"/>
      <c r="Q9" s="39"/>
      <c r="U9" s="35"/>
      <c r="V9" s="35"/>
      <c r="W9" s="35"/>
      <c r="X9" s="35"/>
      <c r="Y9" s="35" t="s">
        <v>140</v>
      </c>
      <c r="Z9" s="35" t="s">
        <v>141</v>
      </c>
      <c r="AA9" s="35" t="s">
        <v>142</v>
      </c>
      <c r="AB9" s="35" t="s">
        <v>143</v>
      </c>
      <c r="AC9" s="35" t="s">
        <v>144</v>
      </c>
      <c r="AD9" s="35" t="s">
        <v>145</v>
      </c>
      <c r="AE9" s="35"/>
      <c r="AF9" s="37"/>
      <c r="AG9" s="35"/>
      <c r="AH9" s="35"/>
    </row>
    <row r="10" spans="1:63" ht="77" customHeight="1" thickTop="1" thickBot="1">
      <c r="A10" s="43"/>
      <c r="B10" s="125" t="s">
        <v>4</v>
      </c>
      <c r="C10" s="126"/>
      <c r="D10" s="126"/>
      <c r="E10" s="126"/>
      <c r="F10" s="127"/>
      <c r="G10" s="49" t="s">
        <v>31</v>
      </c>
      <c r="H10" s="128"/>
      <c r="I10" s="129"/>
      <c r="J10" s="130" t="str">
        <f ca="1">"※「熱交換器の有無」「井水槽の有無」「熱交換後の熱源水を井水槽に戻すかどうか」により「タイプ」を選択する。"
&amp; IF($H$10="","","選択した「"&amp;$H$10&amp;"」は"&amp;INDIRECT(ADDRESS(ROW($Z$1)+MATCH($H$10,$U$2:$U$7),COLUMN($Z$1))) &amp; "で構成される。")
&amp; "タイプに応じて、設置されるポンプの性能値を以下に入力する。"</f>
        <v>※「熱交換器の有無」「井水槽の有無」「熱交換後の熱源水を井水槽に戻すかどうか」により「タイプ」を選択する。タイプに応じて、設置されるポンプの性能値を以下に入力する。</v>
      </c>
      <c r="K10" s="130"/>
      <c r="L10" s="130"/>
      <c r="M10" s="130"/>
      <c r="N10" s="130"/>
      <c r="O10" s="130"/>
      <c r="P10" s="131"/>
      <c r="Q10" s="39"/>
      <c r="U10" s="50"/>
      <c r="V10" s="50"/>
      <c r="W10" s="50"/>
      <c r="X10" s="50"/>
      <c r="Y10" s="50"/>
      <c r="Z10" s="50"/>
      <c r="AA10" s="50"/>
      <c r="AB10" s="50"/>
      <c r="AC10" s="50"/>
      <c r="AD10" s="50"/>
      <c r="AE10" s="50"/>
      <c r="AF10" s="50"/>
      <c r="AG10" s="50"/>
      <c r="AH10" s="5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row>
    <row r="11" spans="1:63" ht="44.5" customHeight="1" thickTop="1">
      <c r="A11" s="43"/>
      <c r="B11" s="95"/>
      <c r="C11" s="96"/>
      <c r="D11" s="96"/>
      <c r="E11" s="96"/>
      <c r="F11" s="96"/>
      <c r="G11" s="96"/>
      <c r="H11" s="96"/>
      <c r="I11" s="97"/>
      <c r="J11" s="105"/>
      <c r="K11" s="105"/>
      <c r="L11" s="105"/>
      <c r="M11" s="105"/>
      <c r="N11" s="105"/>
      <c r="O11" s="105"/>
      <c r="P11" s="106"/>
      <c r="Q11" s="39"/>
      <c r="T11" s="43"/>
      <c r="U11" s="89"/>
      <c r="V11" s="89"/>
      <c r="W11" s="89"/>
      <c r="X11" s="89"/>
      <c r="Y11" s="89"/>
      <c r="Z11" s="89"/>
      <c r="AA11" s="89"/>
      <c r="AB11" s="89"/>
      <c r="AC11" s="89"/>
      <c r="AD11" s="89"/>
      <c r="AE11" s="89"/>
      <c r="AF11" s="89"/>
      <c r="AG11" s="89"/>
      <c r="AH11" s="89"/>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39"/>
    </row>
    <row r="12" spans="1:63" ht="44.5" customHeight="1">
      <c r="A12" s="43"/>
      <c r="B12" s="95"/>
      <c r="C12" s="96"/>
      <c r="D12" s="96"/>
      <c r="E12" s="96"/>
      <c r="F12" s="96"/>
      <c r="G12" s="96"/>
      <c r="H12" s="96"/>
      <c r="I12" s="97"/>
      <c r="J12" s="105"/>
      <c r="K12" s="105"/>
      <c r="L12" s="105"/>
      <c r="M12" s="105"/>
      <c r="N12" s="105"/>
      <c r="O12" s="105"/>
      <c r="P12" s="106"/>
      <c r="Q12" s="39"/>
      <c r="T12" s="43"/>
      <c r="U12" s="90"/>
      <c r="V12" s="90"/>
      <c r="W12" s="90"/>
      <c r="X12" s="90"/>
      <c r="Y12" s="90"/>
      <c r="Z12" s="90"/>
      <c r="AA12" s="90"/>
      <c r="AB12" s="90"/>
      <c r="AC12" s="90"/>
      <c r="AD12" s="90"/>
      <c r="AE12" s="90"/>
      <c r="AF12" s="90"/>
      <c r="AG12" s="90"/>
      <c r="AH12" s="90"/>
      <c r="AI12" s="93"/>
      <c r="AJ12" s="93"/>
      <c r="AK12" s="93"/>
      <c r="AL12" s="93"/>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39"/>
    </row>
    <row r="13" spans="1:63" ht="44.5" customHeight="1">
      <c r="A13" s="43"/>
      <c r="B13" s="95"/>
      <c r="C13" s="96"/>
      <c r="D13" s="96"/>
      <c r="E13" s="96"/>
      <c r="F13" s="96"/>
      <c r="G13" s="96"/>
      <c r="H13" s="96"/>
      <c r="I13" s="97"/>
      <c r="J13" s="105"/>
      <c r="K13" s="105"/>
      <c r="L13" s="105"/>
      <c r="M13" s="105"/>
      <c r="N13" s="105"/>
      <c r="O13" s="105"/>
      <c r="P13" s="106"/>
      <c r="Q13" s="39"/>
      <c r="T13" s="43"/>
      <c r="U13" s="90"/>
      <c r="V13" s="90"/>
      <c r="W13" s="90"/>
      <c r="X13" s="90"/>
      <c r="Y13" s="90"/>
      <c r="Z13" s="90"/>
      <c r="AA13" s="90"/>
      <c r="AB13" s="90"/>
      <c r="AC13" s="90"/>
      <c r="AD13" s="90"/>
      <c r="AE13" s="90"/>
      <c r="AF13" s="90"/>
      <c r="AG13" s="90"/>
      <c r="AH13" s="90"/>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39"/>
    </row>
    <row r="14" spans="1:63" ht="44.5" customHeight="1">
      <c r="A14" s="43"/>
      <c r="B14" s="95"/>
      <c r="C14" s="96"/>
      <c r="D14" s="96"/>
      <c r="E14" s="96"/>
      <c r="F14" s="96"/>
      <c r="G14" s="96"/>
      <c r="H14" s="96"/>
      <c r="I14" s="97"/>
      <c r="J14" s="105"/>
      <c r="K14" s="105"/>
      <c r="L14" s="105"/>
      <c r="M14" s="105"/>
      <c r="N14" s="105"/>
      <c r="O14" s="105"/>
      <c r="P14" s="106"/>
      <c r="Q14" s="39"/>
      <c r="T14" s="43"/>
      <c r="U14" s="90"/>
      <c r="V14" s="90"/>
      <c r="W14" s="90"/>
      <c r="X14" s="90"/>
      <c r="Y14" s="90"/>
      <c r="Z14" s="90"/>
      <c r="AA14" s="90"/>
      <c r="AB14" s="90"/>
      <c r="AC14" s="90"/>
      <c r="AD14" s="90"/>
      <c r="AE14" s="90"/>
      <c r="AF14" s="90"/>
      <c r="AG14" s="90"/>
      <c r="AH14" s="90"/>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39"/>
    </row>
    <row r="15" spans="1:63" ht="44.5" customHeight="1">
      <c r="A15" s="43"/>
      <c r="B15" s="95"/>
      <c r="C15" s="96"/>
      <c r="D15" s="96"/>
      <c r="E15" s="96"/>
      <c r="F15" s="96"/>
      <c r="G15" s="96"/>
      <c r="H15" s="96"/>
      <c r="I15" s="97"/>
      <c r="J15" s="105"/>
      <c r="K15" s="105"/>
      <c r="L15" s="105"/>
      <c r="M15" s="105"/>
      <c r="N15" s="105"/>
      <c r="O15" s="105"/>
      <c r="P15" s="106"/>
      <c r="Q15" s="39"/>
      <c r="T15" s="43"/>
      <c r="U15" s="90"/>
      <c r="V15" s="90"/>
      <c r="W15" s="90"/>
      <c r="X15" s="90"/>
      <c r="Y15" s="90"/>
      <c r="Z15" s="90"/>
      <c r="AA15" s="90"/>
      <c r="AB15" s="90"/>
      <c r="AC15" s="90"/>
      <c r="AD15" s="90"/>
      <c r="AE15" s="90"/>
      <c r="AF15" s="90"/>
      <c r="AG15" s="90"/>
      <c r="AH15" s="90"/>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39"/>
    </row>
    <row r="16" spans="1:63" ht="44.5" customHeight="1">
      <c r="A16" s="43"/>
      <c r="B16" s="95"/>
      <c r="C16" s="96"/>
      <c r="D16" s="96"/>
      <c r="E16" s="96"/>
      <c r="F16" s="96"/>
      <c r="G16" s="96"/>
      <c r="H16" s="96"/>
      <c r="I16" s="97"/>
      <c r="J16" s="105"/>
      <c r="K16" s="105"/>
      <c r="L16" s="105"/>
      <c r="M16" s="105"/>
      <c r="N16" s="105"/>
      <c r="O16" s="105"/>
      <c r="P16" s="106"/>
      <c r="Q16" s="39"/>
      <c r="T16" s="43"/>
      <c r="U16" s="90"/>
      <c r="V16" s="90"/>
      <c r="W16" s="90"/>
      <c r="X16" s="90"/>
      <c r="Y16" s="90"/>
      <c r="Z16" s="90"/>
      <c r="AA16" s="90"/>
      <c r="AB16" s="90"/>
      <c r="AC16" s="90"/>
      <c r="AD16" s="90"/>
      <c r="AE16" s="90"/>
      <c r="AF16" s="90"/>
      <c r="AG16" s="90"/>
      <c r="AH16" s="90"/>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39"/>
    </row>
    <row r="17" spans="1:63" ht="44.5" customHeight="1">
      <c r="A17" s="43"/>
      <c r="B17" s="95"/>
      <c r="C17" s="96"/>
      <c r="D17" s="96"/>
      <c r="E17" s="96"/>
      <c r="F17" s="96"/>
      <c r="G17" s="96"/>
      <c r="H17" s="96"/>
      <c r="I17" s="97"/>
      <c r="J17" s="105"/>
      <c r="K17" s="105"/>
      <c r="L17" s="105"/>
      <c r="M17" s="105"/>
      <c r="N17" s="105"/>
      <c r="O17" s="105"/>
      <c r="P17" s="106"/>
      <c r="Q17" s="39"/>
      <c r="T17" s="43"/>
      <c r="U17" s="90"/>
      <c r="V17" s="90"/>
      <c r="W17" s="90"/>
      <c r="X17" s="90"/>
      <c r="Y17" s="90"/>
      <c r="Z17" s="90"/>
      <c r="AA17" s="90"/>
      <c r="AB17" s="90"/>
      <c r="AC17" s="90"/>
      <c r="AD17" s="90"/>
      <c r="AE17" s="90"/>
      <c r="AF17" s="90"/>
      <c r="AG17" s="90"/>
      <c r="AH17" s="90"/>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39"/>
    </row>
    <row r="18" spans="1:63" ht="44.5" customHeight="1">
      <c r="A18" s="43"/>
      <c r="B18" s="98"/>
      <c r="C18" s="99"/>
      <c r="D18" s="99"/>
      <c r="E18" s="99"/>
      <c r="F18" s="99"/>
      <c r="G18" s="99"/>
      <c r="H18" s="99"/>
      <c r="I18" s="100"/>
      <c r="J18" s="107"/>
      <c r="K18" s="107"/>
      <c r="L18" s="107"/>
      <c r="M18" s="107"/>
      <c r="N18" s="107"/>
      <c r="O18" s="107"/>
      <c r="P18" s="108"/>
      <c r="Q18" s="39"/>
      <c r="T18" s="43"/>
      <c r="U18" s="91"/>
      <c r="V18" s="91"/>
      <c r="W18" s="91"/>
      <c r="X18" s="91"/>
      <c r="Y18" s="91"/>
      <c r="Z18" s="91"/>
      <c r="AA18" s="91"/>
      <c r="AB18" s="91"/>
      <c r="AC18" s="91"/>
      <c r="AD18" s="91"/>
      <c r="AE18" s="91"/>
      <c r="AF18" s="91"/>
      <c r="AG18" s="91"/>
      <c r="AH18" s="91"/>
      <c r="AI18" s="94"/>
      <c r="AJ18" s="94"/>
      <c r="AK18" s="94"/>
      <c r="AL18" s="94"/>
      <c r="AM18" s="94"/>
      <c r="AN18" s="94"/>
      <c r="AO18" s="94"/>
      <c r="AP18" s="94"/>
      <c r="AQ18" s="94"/>
      <c r="AR18" s="94"/>
      <c r="AS18" s="94"/>
      <c r="AT18" s="94"/>
      <c r="AU18" s="94"/>
      <c r="AV18" s="94"/>
      <c r="AW18" s="94"/>
      <c r="AX18" s="94"/>
      <c r="AY18" s="94"/>
      <c r="AZ18" s="94"/>
      <c r="BA18" s="94"/>
      <c r="BB18" s="94"/>
      <c r="BC18" s="94"/>
      <c r="BD18" s="94"/>
      <c r="BE18" s="94"/>
      <c r="BF18" s="94"/>
      <c r="BG18" s="94"/>
      <c r="BH18" s="94"/>
      <c r="BI18" s="94"/>
      <c r="BJ18" s="94"/>
      <c r="BK18" s="39"/>
    </row>
    <row r="19" spans="1:63" ht="30.5" customHeight="1" thickBot="1">
      <c r="A19" s="43"/>
      <c r="B19" s="109" t="s">
        <v>106</v>
      </c>
      <c r="C19" s="109"/>
      <c r="D19" s="109"/>
      <c r="E19" s="109"/>
      <c r="F19" s="109"/>
      <c r="G19" s="109"/>
      <c r="H19" s="102"/>
      <c r="I19" s="102"/>
      <c r="J19" s="110" t="s">
        <v>115</v>
      </c>
      <c r="K19" s="104"/>
      <c r="L19" s="104"/>
      <c r="M19" s="104"/>
      <c r="N19" s="104"/>
      <c r="O19" s="104"/>
      <c r="P19" s="104"/>
      <c r="Q19" s="39"/>
      <c r="U19" s="51"/>
      <c r="V19" s="51"/>
      <c r="W19" s="51"/>
      <c r="X19" s="51"/>
      <c r="Y19" s="51" t="s">
        <v>146</v>
      </c>
      <c r="Z19" s="51" t="s">
        <v>146</v>
      </c>
      <c r="AA19" s="51" t="s">
        <v>146</v>
      </c>
      <c r="AB19" s="51" t="s">
        <v>146</v>
      </c>
      <c r="AC19" s="51" t="s">
        <v>146</v>
      </c>
      <c r="AD19" s="51" t="s">
        <v>146</v>
      </c>
      <c r="AE19" s="51"/>
      <c r="AF19" s="51"/>
      <c r="AG19" s="51"/>
      <c r="AH19" s="51"/>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row>
    <row r="20" spans="1:63" ht="30.5" customHeight="1" thickTop="1" thickBot="1">
      <c r="A20" s="43"/>
      <c r="B20" s="117" t="s">
        <v>107</v>
      </c>
      <c r="C20" s="118"/>
      <c r="D20" s="118"/>
      <c r="E20" s="118"/>
      <c r="F20" s="119"/>
      <c r="G20" s="52" t="s">
        <v>0</v>
      </c>
      <c r="H20" s="120"/>
      <c r="I20" s="120"/>
      <c r="J20" s="124" t="str">
        <f>"※揚水ポンプの定格消費電力"&amp;IF(OR($H$10=$U$2,$H$10=$U$5),"","、定格流量")&amp;"を入力する。有効桁数4桁で四捨五入して入力する。"
&amp; IF(OR($H$10=$U$2,$H$10=$U$5),"",CHAR(10) &amp; "※流量の単位は「L/min」「m3/h」「m3/s」から選択できる(ただし、以下で入力する流量は、すべてここで選択した単位で入力すること)。")</f>
        <v>※揚水ポンプの定格消費電力、定格流量を入力する。有効桁数4桁で四捨五入して入力する。
※流量の単位は「L/min」「m3/h」「m3/s」から選択できる(ただし、以下で入力する流量は、すべてここで選択した単位で入力すること)。</v>
      </c>
      <c r="K20" s="114"/>
      <c r="L20" s="114"/>
      <c r="M20" s="114"/>
      <c r="N20" s="114"/>
      <c r="O20" s="114"/>
      <c r="P20" s="114"/>
      <c r="Q20" s="39"/>
      <c r="U20" s="35"/>
      <c r="V20" s="35">
        <f xml:space="preserve"> IF(H20&lt;=0,0,ROUND(H20, 2-INT(LOG(ABS(H20))))
)</f>
        <v>0</v>
      </c>
      <c r="W20" s="37" t="str">
        <f>IF(H20&gt;0,"○","×")</f>
        <v>×</v>
      </c>
      <c r="X20" s="35"/>
      <c r="Y20" s="35" t="s">
        <v>146</v>
      </c>
      <c r="Z20" s="35" t="s">
        <v>146</v>
      </c>
      <c r="AA20" s="35" t="s">
        <v>146</v>
      </c>
      <c r="AB20" s="35" t="s">
        <v>146</v>
      </c>
      <c r="AC20" s="35" t="s">
        <v>146</v>
      </c>
      <c r="AD20" s="35" t="s">
        <v>146</v>
      </c>
      <c r="AE20" s="35"/>
      <c r="AF20" s="35"/>
      <c r="AG20" s="35"/>
      <c r="AH20" s="35"/>
    </row>
    <row r="21" spans="1:63" ht="30.5" customHeight="1" thickTop="1" thickBot="1">
      <c r="A21" s="43"/>
      <c r="B21" s="121" t="s">
        <v>108</v>
      </c>
      <c r="C21" s="122"/>
      <c r="D21" s="122"/>
      <c r="E21" s="122"/>
      <c r="F21" s="123"/>
      <c r="G21" s="1" t="s">
        <v>2</v>
      </c>
      <c r="H21" s="120"/>
      <c r="I21" s="120"/>
      <c r="J21" s="113"/>
      <c r="K21" s="114"/>
      <c r="L21" s="114"/>
      <c r="M21" s="114"/>
      <c r="N21" s="114"/>
      <c r="O21" s="114"/>
      <c r="P21" s="114"/>
      <c r="Q21" s="39"/>
      <c r="U21" s="35"/>
      <c r="V21" s="35">
        <f xml:space="preserve"> IF(H21&lt;=0,0,ROUND(H21, 2-INT(LOG(ABS(H21))))
)</f>
        <v>0</v>
      </c>
      <c r="W21" s="37" t="str">
        <f>IF(OR($H$10=$U$2,$H$10=$U$5),"○",
IF(H21&gt;0,"○","×"))</f>
        <v>×</v>
      </c>
      <c r="X21" s="35"/>
      <c r="Y21" s="37"/>
      <c r="Z21" s="35" t="s">
        <v>146</v>
      </c>
      <c r="AA21" s="35" t="s">
        <v>146</v>
      </c>
      <c r="AB21" s="35"/>
      <c r="AC21" s="35" t="s">
        <v>146</v>
      </c>
      <c r="AD21" s="35" t="s">
        <v>146</v>
      </c>
      <c r="AE21" s="35"/>
      <c r="AF21" s="35"/>
      <c r="AG21" s="35"/>
      <c r="AH21" s="35"/>
    </row>
    <row r="22" spans="1:63" ht="30.5" customHeight="1" thickTop="1" thickBot="1">
      <c r="A22" s="43"/>
      <c r="B22" s="101" t="s">
        <v>109</v>
      </c>
      <c r="C22" s="101"/>
      <c r="D22" s="101"/>
      <c r="E22" s="101"/>
      <c r="F22" s="101"/>
      <c r="G22" s="101"/>
      <c r="H22" s="102"/>
      <c r="I22" s="102"/>
      <c r="J22" s="103" t="s">
        <v>116</v>
      </c>
      <c r="K22" s="104"/>
      <c r="L22" s="104"/>
      <c r="M22" s="104"/>
      <c r="N22" s="104"/>
      <c r="O22" s="104"/>
      <c r="P22" s="104"/>
      <c r="Q22" s="39"/>
      <c r="U22" s="35"/>
      <c r="V22" s="35"/>
      <c r="W22" s="35"/>
      <c r="X22" s="35"/>
      <c r="Y22" s="35"/>
      <c r="Z22" s="35" t="s">
        <v>146</v>
      </c>
      <c r="AA22" s="35" t="s">
        <v>146</v>
      </c>
      <c r="AB22" s="35" t="s">
        <v>146</v>
      </c>
      <c r="AC22" s="35" t="s">
        <v>146</v>
      </c>
      <c r="AD22" s="35" t="s">
        <v>146</v>
      </c>
      <c r="AE22" s="35"/>
      <c r="AF22" s="35"/>
      <c r="AG22" s="35"/>
      <c r="AH22" s="35"/>
    </row>
    <row r="23" spans="1:63" ht="30.5" customHeight="1" thickTop="1" thickBot="1">
      <c r="A23" s="43"/>
      <c r="B23" s="117" t="s">
        <v>110</v>
      </c>
      <c r="C23" s="118"/>
      <c r="D23" s="118"/>
      <c r="E23" s="118"/>
      <c r="F23" s="119"/>
      <c r="G23" s="52" t="s">
        <v>0</v>
      </c>
      <c r="H23" s="120"/>
      <c r="I23" s="120"/>
      <c r="J23" s="113" t="str">
        <f>"※熱源水ポンプ1の定格消費電力"&amp;IF(OR($H$10=$U$2,$H$10=$U$5),"","、定格流量")&amp;"を入力する。有効桁数4桁で四捨五入して入力する。"</f>
        <v>※熱源水ポンプ1の定格消費電力、定格流量を入力する。有効桁数4桁で四捨五入して入力する。</v>
      </c>
      <c r="K23" s="114"/>
      <c r="L23" s="114"/>
      <c r="M23" s="114"/>
      <c r="N23" s="114"/>
      <c r="O23" s="114"/>
      <c r="P23" s="114"/>
      <c r="Q23" s="39"/>
      <c r="U23" s="35"/>
      <c r="V23" s="35">
        <f xml:space="preserve"> IF(H23&lt;=0,0,ROUND(H23, 2-INT(LOG(ABS(H23))))
)</f>
        <v>0</v>
      </c>
      <c r="W23" s="37" t="str">
        <f>IF($H$10=$U$2,"○",IF(H23&gt;0,"○","×"))</f>
        <v>×</v>
      </c>
      <c r="X23" s="35"/>
      <c r="Y23" s="35"/>
      <c r="Z23" s="35" t="s">
        <v>146</v>
      </c>
      <c r="AA23" s="35" t="s">
        <v>146</v>
      </c>
      <c r="AB23" s="35" t="s">
        <v>146</v>
      </c>
      <c r="AC23" s="35" t="s">
        <v>146</v>
      </c>
      <c r="AD23" s="35" t="s">
        <v>146</v>
      </c>
      <c r="AE23" s="35"/>
      <c r="AF23" s="35"/>
      <c r="AG23" s="35"/>
      <c r="AH23" s="35"/>
    </row>
    <row r="24" spans="1:63" ht="30.5" customHeight="1" thickTop="1" thickBot="1">
      <c r="A24" s="43"/>
      <c r="B24" s="121" t="s">
        <v>119</v>
      </c>
      <c r="C24" s="122"/>
      <c r="D24" s="122"/>
      <c r="E24" s="122"/>
      <c r="F24" s="123"/>
      <c r="G24" s="52" t="str">
        <f>$G$21</f>
        <v>[L/min]</v>
      </c>
      <c r="H24" s="120"/>
      <c r="I24" s="120"/>
      <c r="J24" s="113"/>
      <c r="K24" s="114"/>
      <c r="L24" s="114"/>
      <c r="M24" s="114"/>
      <c r="N24" s="114"/>
      <c r="O24" s="114"/>
      <c r="P24" s="114"/>
      <c r="Q24" s="39"/>
      <c r="U24" s="35"/>
      <c r="V24" s="35">
        <f xml:space="preserve"> IF(H24&lt;=0,0,ROUND(H24, 2-INT(LOG(ABS(H24))))
)</f>
        <v>0</v>
      </c>
      <c r="W24" s="37" t="str">
        <f>IF(OR($H$10=$U$2,$H$10=$U$5),"○",
IF(H24&gt;0,"○","×"))</f>
        <v>×</v>
      </c>
      <c r="X24" s="35"/>
      <c r="Y24" s="35"/>
      <c r="Z24" s="35" t="s">
        <v>146</v>
      </c>
      <c r="AA24" s="35" t="s">
        <v>146</v>
      </c>
      <c r="AB24" s="35"/>
      <c r="AC24" s="35" t="s">
        <v>146</v>
      </c>
      <c r="AD24" s="35" t="s">
        <v>146</v>
      </c>
      <c r="AE24" s="35"/>
      <c r="AF24" s="35"/>
      <c r="AG24" s="35"/>
      <c r="AH24" s="35"/>
    </row>
    <row r="25" spans="1:63" ht="30.5" customHeight="1" thickTop="1" thickBot="1">
      <c r="A25" s="43"/>
      <c r="B25" s="101" t="s">
        <v>111</v>
      </c>
      <c r="C25" s="101"/>
      <c r="D25" s="101"/>
      <c r="E25" s="101"/>
      <c r="F25" s="101"/>
      <c r="G25" s="101"/>
      <c r="H25" s="102"/>
      <c r="I25" s="102"/>
      <c r="J25" s="103" t="s">
        <v>117</v>
      </c>
      <c r="K25" s="104"/>
      <c r="L25" s="104"/>
      <c r="M25" s="104"/>
      <c r="N25" s="104"/>
      <c r="O25" s="104"/>
      <c r="P25" s="104"/>
      <c r="Q25" s="39"/>
      <c r="U25" s="35"/>
      <c r="V25" s="35"/>
      <c r="W25" s="37"/>
      <c r="X25" s="35"/>
      <c r="Y25" s="35"/>
      <c r="Z25" s="35"/>
      <c r="AA25" s="35"/>
      <c r="AB25" s="35"/>
      <c r="AC25" s="35" t="s">
        <v>146</v>
      </c>
      <c r="AD25" s="35" t="s">
        <v>146</v>
      </c>
      <c r="AE25" s="35"/>
      <c r="AF25" s="35"/>
      <c r="AG25" s="35"/>
      <c r="AH25" s="35"/>
    </row>
    <row r="26" spans="1:63" ht="30.5" customHeight="1" thickTop="1" thickBot="1">
      <c r="A26" s="43"/>
      <c r="B26" s="117" t="s">
        <v>112</v>
      </c>
      <c r="C26" s="118"/>
      <c r="D26" s="118"/>
      <c r="E26" s="118"/>
      <c r="F26" s="119"/>
      <c r="G26" s="52" t="s">
        <v>0</v>
      </c>
      <c r="H26" s="120"/>
      <c r="I26" s="120"/>
      <c r="J26" s="124" t="s">
        <v>74</v>
      </c>
      <c r="K26" s="114"/>
      <c r="L26" s="114"/>
      <c r="M26" s="114"/>
      <c r="N26" s="114"/>
      <c r="O26" s="114"/>
      <c r="P26" s="114"/>
      <c r="Q26" s="39"/>
      <c r="U26" s="35"/>
      <c r="V26" s="35">
        <f xml:space="preserve"> IF(H26&lt;=0,0,ROUND(H26, 2-INT(LOG(ABS(H26))))
)</f>
        <v>0</v>
      </c>
      <c r="W26" s="37" t="str">
        <f>IF(AND($H$10&lt;&gt;$U$6,$H$10&lt;&gt;$U$7),"○",IF(H26&gt;0,"○","×"))</f>
        <v>○</v>
      </c>
      <c r="X26" s="35"/>
      <c r="Y26" s="35"/>
      <c r="Z26" s="35"/>
      <c r="AA26" s="35"/>
      <c r="AB26" s="35"/>
      <c r="AC26" s="35" t="s">
        <v>146</v>
      </c>
      <c r="AD26" s="35" t="s">
        <v>146</v>
      </c>
      <c r="AE26" s="35"/>
      <c r="AF26" s="35"/>
      <c r="AG26" s="35"/>
      <c r="AH26" s="35"/>
    </row>
    <row r="27" spans="1:63" ht="7.5" customHeight="1" thickTop="1">
      <c r="A27" s="43"/>
      <c r="B27" s="54"/>
      <c r="C27" s="54"/>
      <c r="D27" s="54"/>
      <c r="E27" s="54"/>
      <c r="F27" s="54"/>
      <c r="G27" s="54"/>
      <c r="H27" s="44"/>
      <c r="I27" s="45"/>
      <c r="J27" s="54"/>
      <c r="K27" s="54"/>
      <c r="L27" s="54"/>
      <c r="M27" s="54"/>
      <c r="N27" s="54"/>
      <c r="O27" s="54"/>
      <c r="P27" s="54"/>
      <c r="Q27" s="39"/>
      <c r="U27" s="35"/>
      <c r="V27" s="35"/>
      <c r="W27" s="35"/>
      <c r="X27" s="35"/>
      <c r="Y27" s="35" t="s">
        <v>146</v>
      </c>
      <c r="Z27" s="35" t="s">
        <v>146</v>
      </c>
      <c r="AA27" s="35" t="s">
        <v>146</v>
      </c>
      <c r="AB27" s="35" t="s">
        <v>146</v>
      </c>
      <c r="AC27" s="35" t="s">
        <v>146</v>
      </c>
      <c r="AD27" s="35" t="s">
        <v>146</v>
      </c>
      <c r="AE27" s="35"/>
      <c r="AF27" s="35"/>
      <c r="AG27" s="35"/>
      <c r="AH27" s="35"/>
    </row>
    <row r="28" spans="1:63" ht="21.5" customHeight="1">
      <c r="A28" s="43"/>
      <c r="B28" s="55" t="s">
        <v>58</v>
      </c>
      <c r="C28" s="55"/>
      <c r="D28" s="55"/>
      <c r="E28" s="55"/>
      <c r="F28" s="55"/>
      <c r="G28" s="55"/>
      <c r="H28" s="55"/>
      <c r="I28" s="55"/>
      <c r="J28" s="55"/>
      <c r="K28" s="55"/>
      <c r="L28" s="55"/>
      <c r="M28" s="55"/>
      <c r="N28" s="55"/>
      <c r="O28" s="55"/>
      <c r="P28" s="56" t="s">
        <v>68</v>
      </c>
      <c r="Q28" s="39"/>
      <c r="U28" s="35"/>
      <c r="V28" s="35"/>
      <c r="W28" s="35"/>
      <c r="X28" s="35"/>
      <c r="Y28" s="35" t="s">
        <v>146</v>
      </c>
      <c r="Z28" s="35" t="s">
        <v>146</v>
      </c>
      <c r="AA28" s="35" t="s">
        <v>146</v>
      </c>
      <c r="AB28" s="35" t="s">
        <v>146</v>
      </c>
      <c r="AC28" s="35" t="s">
        <v>146</v>
      </c>
      <c r="AD28" s="35" t="s">
        <v>146</v>
      </c>
      <c r="AE28" s="35"/>
      <c r="AF28" s="35"/>
      <c r="AG28" s="35"/>
      <c r="AH28" s="35"/>
    </row>
    <row r="29" spans="1:63" ht="20.5" customHeight="1">
      <c r="A29" s="43"/>
      <c r="B29" s="115" t="s">
        <v>27</v>
      </c>
      <c r="C29" s="115"/>
      <c r="D29" s="115"/>
      <c r="E29" s="115"/>
      <c r="F29" s="115"/>
      <c r="G29" s="48" t="s">
        <v>59</v>
      </c>
      <c r="H29" s="116" t="s">
        <v>60</v>
      </c>
      <c r="I29" s="116"/>
      <c r="J29" s="115" t="s">
        <v>96</v>
      </c>
      <c r="K29" s="115"/>
      <c r="L29" s="115"/>
      <c r="M29" s="115"/>
      <c r="N29" s="115"/>
      <c r="O29" s="115"/>
      <c r="P29" s="115"/>
      <c r="Q29" s="39"/>
      <c r="U29" s="35"/>
      <c r="V29" s="35"/>
      <c r="W29" s="35"/>
      <c r="X29" s="35"/>
      <c r="Y29" s="35" t="s">
        <v>146</v>
      </c>
      <c r="Z29" s="35" t="s">
        <v>146</v>
      </c>
      <c r="AA29" s="35" t="s">
        <v>146</v>
      </c>
      <c r="AB29" s="35" t="s">
        <v>146</v>
      </c>
      <c r="AC29" s="35" t="s">
        <v>146</v>
      </c>
      <c r="AD29" s="35" t="s">
        <v>146</v>
      </c>
      <c r="AE29" s="35"/>
      <c r="AF29" s="35"/>
      <c r="AG29" s="35"/>
      <c r="AH29" s="35"/>
    </row>
    <row r="30" spans="1:63" ht="48.5" customHeight="1">
      <c r="A30" s="43"/>
      <c r="B30" s="111" t="s">
        <v>61</v>
      </c>
      <c r="C30" s="111"/>
      <c r="D30" s="111"/>
      <c r="E30" s="111"/>
      <c r="F30" s="111"/>
      <c r="G30" s="52" t="s">
        <v>0</v>
      </c>
      <c r="H30" s="112" t="str">
        <f xml:space="preserve"> IF(V30="","",ROUND(V30, 2-INT(LOG(ABS(V30))))
)</f>
        <v/>
      </c>
      <c r="I30" s="112"/>
      <c r="J30" s="113" t="str">
        <f>" W' = "&amp;IF(OR($H$10=$U$2,$H$10=$U$5),"","( V1 / V0 ) × ")&amp;"W0"
&amp;IF($H$10&lt;&gt;$U$2," + W1","")
&amp;IF(OR($H$10=$U$6,$H$10=$U$7)," + W2","")
&amp;IF(COUNTIF(W20:W26,"×")&gt;0,"",CHAR(10) &amp; "      = "&amp;IF(OR($H$10=$U$2,$H$10=$U$5),"","("&amp;$V$24&amp;" / "&amp;$V$21&amp;") × ")&amp;$V$20
&amp;IF($H$10&lt;&gt;$U$2," + "&amp;$V$23,"")
&amp;IF(OR($H$10=$U$6,$H$10=$U$7)," + "&amp;$V$26,"")&amp; IF($H$10&lt;&gt;$U$2," = "&amp;$H$30,"") &amp;" "&amp;$G$30)
&amp;CHAR(10)&amp;"※W'は有効桁数4桁で四捨五入し、有効桁数3桁までで表示する。"</f>
        <v xml:space="preserve"> W' = ( V1 / V0 ) × W0 + W1
※W'は有効桁数4桁で四捨五入し、有効桁数3桁までで表示する。</v>
      </c>
      <c r="K30" s="114"/>
      <c r="L30" s="114"/>
      <c r="M30" s="114"/>
      <c r="N30" s="114"/>
      <c r="O30" s="114"/>
      <c r="P30" s="114"/>
      <c r="Q30" s="39"/>
      <c r="S30" s="57"/>
      <c r="U30" s="35"/>
      <c r="V30" s="35" t="str">
        <f>IF(COUNTIF(W20:W26,"×")&gt;0,"",
$V$20*IF(OR($H$10=$U$2,$H$10=$U$5),1,$V$24/$V$21)
+IF($H$10&lt;&gt;$U$2,$V$23,0)
+IF(OR($H$10=$U$6,$H$10=$U$7),$V$26,0)
)</f>
        <v/>
      </c>
      <c r="W30" s="35"/>
      <c r="X30" s="35"/>
      <c r="Y30" s="35" t="s">
        <v>146</v>
      </c>
      <c r="Z30" s="35" t="s">
        <v>146</v>
      </c>
      <c r="AA30" s="35" t="s">
        <v>146</v>
      </c>
      <c r="AB30" s="35" t="s">
        <v>146</v>
      </c>
      <c r="AC30" s="35" t="s">
        <v>146</v>
      </c>
      <c r="AD30" s="35" t="s">
        <v>146</v>
      </c>
      <c r="AE30" s="35"/>
      <c r="AF30" s="35"/>
      <c r="AG30" s="35"/>
      <c r="AH30" s="35"/>
    </row>
    <row r="31" spans="1:63" ht="7.5" customHeight="1">
      <c r="B31" s="44"/>
      <c r="C31" s="44"/>
      <c r="D31" s="44"/>
      <c r="E31" s="44"/>
      <c r="F31" s="44"/>
      <c r="G31" s="44"/>
      <c r="H31" s="44"/>
      <c r="I31" s="45"/>
      <c r="J31" s="44"/>
      <c r="K31" s="44"/>
      <c r="L31" s="44"/>
      <c r="M31" s="44"/>
      <c r="N31" s="44"/>
      <c r="O31" s="44"/>
      <c r="P31" s="44"/>
      <c r="U31" s="35"/>
      <c r="V31" s="35"/>
      <c r="W31" s="35"/>
      <c r="X31" s="35"/>
      <c r="Y31" s="35" t="s">
        <v>146</v>
      </c>
      <c r="Z31" s="35" t="s">
        <v>146</v>
      </c>
      <c r="AA31" s="35" t="s">
        <v>146</v>
      </c>
      <c r="AB31" s="35" t="s">
        <v>146</v>
      </c>
      <c r="AC31" s="35" t="s">
        <v>146</v>
      </c>
      <c r="AD31" s="35" t="s">
        <v>146</v>
      </c>
      <c r="AE31" s="35"/>
      <c r="AF31" s="35"/>
      <c r="AG31" s="35"/>
      <c r="AH31" s="35"/>
    </row>
    <row r="32" spans="1:63" ht="46" customHeight="1">
      <c r="E32" s="33"/>
      <c r="I32" s="34"/>
      <c r="U32" s="35"/>
      <c r="V32" s="35"/>
      <c r="W32" s="35"/>
      <c r="X32" s="35"/>
      <c r="Y32" s="35" t="s">
        <v>146</v>
      </c>
      <c r="Z32" s="35" t="s">
        <v>146</v>
      </c>
      <c r="AA32" s="35" t="s">
        <v>146</v>
      </c>
      <c r="AB32" s="35" t="s">
        <v>146</v>
      </c>
      <c r="AC32" s="35" t="s">
        <v>146</v>
      </c>
      <c r="AD32" s="35" t="s">
        <v>146</v>
      </c>
      <c r="AE32" s="35"/>
      <c r="AF32" s="35"/>
      <c r="AG32" s="35"/>
      <c r="AH32" s="35"/>
    </row>
    <row r="33" spans="2:34" ht="25.5" customHeight="1">
      <c r="E33" s="33"/>
      <c r="I33" s="34"/>
      <c r="U33" s="35"/>
      <c r="V33" s="35"/>
      <c r="W33" s="35"/>
      <c r="X33" s="35"/>
      <c r="Y33" s="35" t="s">
        <v>146</v>
      </c>
      <c r="Z33" s="35" t="s">
        <v>146</v>
      </c>
      <c r="AA33" s="35" t="s">
        <v>146</v>
      </c>
      <c r="AB33" s="35" t="s">
        <v>146</v>
      </c>
      <c r="AC33" s="35" t="s">
        <v>146</v>
      </c>
      <c r="AD33" s="35" t="s">
        <v>146</v>
      </c>
      <c r="AE33" s="35"/>
      <c r="AF33" s="35"/>
      <c r="AG33" s="35"/>
      <c r="AH33" s="35"/>
    </row>
    <row r="34" spans="2:34" ht="25" customHeight="1">
      <c r="E34" s="33"/>
      <c r="I34" s="34"/>
      <c r="U34" s="35"/>
      <c r="V34" s="35"/>
      <c r="W34" s="35"/>
      <c r="X34" s="35"/>
      <c r="Y34" s="35" t="s">
        <v>146</v>
      </c>
      <c r="Z34" s="35" t="s">
        <v>146</v>
      </c>
      <c r="AA34" s="35" t="s">
        <v>146</v>
      </c>
      <c r="AB34" s="35" t="s">
        <v>146</v>
      </c>
      <c r="AC34" s="35" t="s">
        <v>146</v>
      </c>
      <c r="AD34" s="35" t="s">
        <v>146</v>
      </c>
      <c r="AE34" s="35"/>
      <c r="AF34" s="35"/>
      <c r="AG34" s="35"/>
      <c r="AH34" s="35"/>
    </row>
    <row r="35" spans="2:34" ht="21.5" customHeight="1">
      <c r="E35" s="33"/>
      <c r="I35" s="34"/>
      <c r="U35" s="35"/>
      <c r="V35" s="35"/>
      <c r="W35" s="35"/>
      <c r="X35" s="35"/>
      <c r="Y35" s="35" t="s">
        <v>146</v>
      </c>
      <c r="Z35" s="35" t="s">
        <v>146</v>
      </c>
      <c r="AA35" s="35" t="s">
        <v>146</v>
      </c>
      <c r="AB35" s="35" t="s">
        <v>146</v>
      </c>
      <c r="AC35" s="35" t="s">
        <v>146</v>
      </c>
      <c r="AD35" s="35" t="s">
        <v>146</v>
      </c>
      <c r="AE35" s="35"/>
      <c r="AF35" s="35"/>
      <c r="AG35" s="35"/>
      <c r="AH35" s="35"/>
    </row>
    <row r="36" spans="2:34" ht="15.65" customHeight="1">
      <c r="U36" s="35"/>
      <c r="V36" s="35"/>
      <c r="W36" s="35"/>
      <c r="X36" s="35"/>
      <c r="Y36" s="35"/>
      <c r="Z36" s="35"/>
      <c r="AA36" s="35"/>
      <c r="AB36" s="35"/>
      <c r="AC36" s="35"/>
      <c r="AD36" s="35"/>
      <c r="AE36" s="35"/>
      <c r="AF36" s="35"/>
      <c r="AG36" s="35"/>
      <c r="AH36" s="35"/>
    </row>
    <row r="37" spans="2:34" ht="15.65" customHeight="1">
      <c r="B37" s="58"/>
      <c r="U37" s="35"/>
      <c r="V37" s="35"/>
      <c r="W37" s="35"/>
      <c r="X37" s="35"/>
      <c r="Y37" s="35"/>
      <c r="Z37" s="35"/>
      <c r="AA37" s="35"/>
      <c r="AB37" s="35"/>
      <c r="AC37" s="35"/>
      <c r="AD37" s="35"/>
      <c r="AE37" s="35"/>
      <c r="AF37" s="35"/>
      <c r="AG37" s="35"/>
      <c r="AH37" s="35"/>
    </row>
    <row r="38" spans="2:34" ht="15.65" customHeight="1">
      <c r="E38" s="59"/>
      <c r="U38" s="35"/>
      <c r="V38" s="35"/>
      <c r="W38" s="35"/>
      <c r="X38" s="35"/>
      <c r="Y38" s="35"/>
      <c r="Z38" s="35"/>
      <c r="AA38" s="35"/>
      <c r="AB38" s="35"/>
      <c r="AC38" s="35"/>
      <c r="AD38" s="35"/>
      <c r="AE38" s="35"/>
      <c r="AF38" s="35"/>
      <c r="AG38" s="35"/>
      <c r="AH38" s="35"/>
    </row>
    <row r="39" spans="2:34" ht="15.65" customHeight="1">
      <c r="E39" s="60"/>
    </row>
    <row r="40" spans="2:34" ht="15.65" customHeight="1">
      <c r="E40" s="60"/>
    </row>
    <row r="42" spans="2:34" ht="15.65" customHeight="1">
      <c r="E42" s="59"/>
    </row>
    <row r="43" spans="2:34" ht="15.65" customHeight="1">
      <c r="E43" s="60"/>
    </row>
    <row r="44" spans="2:34" ht="15.65" customHeight="1">
      <c r="E44" s="60"/>
    </row>
    <row r="48" spans="2:34" ht="15.65" customHeight="1">
      <c r="B48" s="58"/>
    </row>
    <row r="50" spans="5:6" ht="15.65" customHeight="1">
      <c r="E50" s="33"/>
    </row>
    <row r="51" spans="5:6" ht="15.65" customHeight="1">
      <c r="E51" s="59"/>
    </row>
    <row r="52" spans="5:6" ht="15.65" customHeight="1">
      <c r="E52" s="60"/>
      <c r="F52" s="61"/>
    </row>
    <row r="53" spans="5:6" ht="15.65" customHeight="1">
      <c r="E53" s="60"/>
      <c r="F53" s="61"/>
    </row>
    <row r="54" spans="5:6" ht="15.65" customHeight="1">
      <c r="E54" s="59"/>
    </row>
    <row r="55" spans="5:6" ht="15.65" customHeight="1">
      <c r="E55" s="59"/>
    </row>
    <row r="56" spans="5:6" ht="15.65" customHeight="1">
      <c r="E56" s="60"/>
      <c r="F56" s="61"/>
    </row>
    <row r="57" spans="5:6" ht="15.65" customHeight="1">
      <c r="E57" s="60"/>
      <c r="F57" s="61"/>
    </row>
    <row r="59" spans="5:6" ht="15.65" customHeight="1">
      <c r="E59" s="62"/>
    </row>
  </sheetData>
  <sheetProtection algorithmName="SHA-512" hashValue="8y3JSFP6ugqFmWTwX4gwYGwz872TFz8nPzkwc/IjHGx2MlhScY3WGDKJOWcjbxIrBxOOnX1unOqjDzewnP8p7w==" saltValue="U5WhqfTLJZovF8KNh0CHKw==" spinCount="100000" sheet="1" objects="1" scenarios="1"/>
  <mergeCells count="47">
    <mergeCell ref="B10:F10"/>
    <mergeCell ref="H10:I10"/>
    <mergeCell ref="J10:P10"/>
    <mergeCell ref="B2:J2"/>
    <mergeCell ref="L2:P2"/>
    <mergeCell ref="B3:J3"/>
    <mergeCell ref="L3:P3"/>
    <mergeCell ref="B5:G5"/>
    <mergeCell ref="H5:P5"/>
    <mergeCell ref="B6:G6"/>
    <mergeCell ref="H6:P6"/>
    <mergeCell ref="B9:F9"/>
    <mergeCell ref="H9:I9"/>
    <mergeCell ref="J9:P9"/>
    <mergeCell ref="H26:I26"/>
    <mergeCell ref="J26:P26"/>
    <mergeCell ref="B20:F20"/>
    <mergeCell ref="H20:I20"/>
    <mergeCell ref="J20:P21"/>
    <mergeCell ref="B21:F21"/>
    <mergeCell ref="H21:I21"/>
    <mergeCell ref="U11:AA18"/>
    <mergeCell ref="J11:P18"/>
    <mergeCell ref="B19:I19"/>
    <mergeCell ref="J19:P19"/>
    <mergeCell ref="B30:F30"/>
    <mergeCell ref="H30:I30"/>
    <mergeCell ref="J30:P30"/>
    <mergeCell ref="B29:F29"/>
    <mergeCell ref="H29:I29"/>
    <mergeCell ref="J29:P29"/>
    <mergeCell ref="B23:F23"/>
    <mergeCell ref="H23:I23"/>
    <mergeCell ref="J23:P24"/>
    <mergeCell ref="B24:F24"/>
    <mergeCell ref="H24:I24"/>
    <mergeCell ref="B26:F26"/>
    <mergeCell ref="B11:I18"/>
    <mergeCell ref="B22:I22"/>
    <mergeCell ref="J22:P22"/>
    <mergeCell ref="B25:I25"/>
    <mergeCell ref="J25:P25"/>
    <mergeCell ref="AB11:AH18"/>
    <mergeCell ref="AI11:AO18"/>
    <mergeCell ref="AP11:AV18"/>
    <mergeCell ref="AW11:BC18"/>
    <mergeCell ref="BD11:BJ18"/>
  </mergeCells>
  <phoneticPr fontId="1"/>
  <conditionalFormatting sqref="B19:P30">
    <cfRule type="expression" dxfId="37" priority="37">
      <formula>INDIRECT(ADDRESS(ROW(B19),COLUMN($Y$9)+MATCH($H$10,$Y$9:$AD$9,0)-1))=""</formula>
    </cfRule>
  </conditionalFormatting>
  <dataValidations count="2">
    <dataValidation type="list" allowBlank="1" showInputMessage="1" showErrorMessage="1" sqref="H10" xr:uid="{7755980B-2551-4D2B-ADB0-9B8DC32D4C2F}">
      <formula1>$U$2:$U$7</formula1>
    </dataValidation>
    <dataValidation type="list" allowBlank="1" showInputMessage="1" showErrorMessage="1" sqref="G21" xr:uid="{B7CD7FC3-3495-4363-9F48-98CD2155EE04}">
      <formula1>AA$2:AA$4</formula1>
    </dataValidation>
  </dataValidations>
  <pageMargins left="0.59055118110236227" right="0.59055118110236227" top="0.59055118110236227" bottom="0.59055118110236227" header="0.31496062992125984" footer="0.31496062992125984"/>
  <pageSetup paperSize="9" scale="60" fitToWidth="0" orientation="portrait" r:id="rId1"/>
  <headerFooter>
    <oddFooter>&amp;C&amp;"ＭＳ Ｐ明朝,標準"オープンループ型地中熱ヒートポンプシステムの熱源水ポンプ群合計消費電力計算シート&amp;"Times New Roman,標準" &amp;"ＭＳ Ｐ明朝,標準"(&amp;"Times New Roman,標準"Ver.1.0&amp;"ＭＳ Ｐ明朝,標準")  &amp;"Times New Roman,標準"- &amp;P / 1 -</oddFooter>
  </headerFooter>
  <colBreaks count="1" manualBreakCount="1">
    <brk id="1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E042AF-E74B-460D-A1CA-DBD1DA9B441E}">
  <dimension ref="A1:BK59"/>
  <sheetViews>
    <sheetView zoomScaleNormal="100" workbookViewId="0">
      <selection activeCell="S17" sqref="S17"/>
    </sheetView>
  </sheetViews>
  <sheetFormatPr defaultColWidth="8.75" defaultRowHeight="15.65" customHeight="1"/>
  <cols>
    <col min="1" max="1" width="1.08203125" style="33" customWidth="1"/>
    <col min="2" max="4" width="8.5" style="33" customWidth="1"/>
    <col min="5" max="5" width="8.5" style="34" customWidth="1"/>
    <col min="6" max="6" width="8.5" style="33" customWidth="1"/>
    <col min="7" max="7" width="10.08203125" style="33" customWidth="1"/>
    <col min="8" max="9" width="8.5" style="33" customWidth="1"/>
    <col min="10" max="10" width="10.5" style="33" customWidth="1"/>
    <col min="11" max="15" width="8.5" style="33" customWidth="1"/>
    <col min="16" max="16" width="12.25" style="33" customWidth="1"/>
    <col min="17" max="17" width="0.6640625" style="33" customWidth="1"/>
    <col min="18" max="16384" width="8.75" style="33"/>
  </cols>
  <sheetData>
    <row r="1" spans="1:63" ht="9.5" customHeight="1" thickBot="1">
      <c r="U1" s="35" t="s">
        <v>129</v>
      </c>
      <c r="V1" s="35" t="s">
        <v>130</v>
      </c>
      <c r="W1" s="35" t="s">
        <v>131</v>
      </c>
      <c r="X1" s="35" t="s">
        <v>132</v>
      </c>
      <c r="Y1" s="35" t="s">
        <v>133</v>
      </c>
      <c r="Z1" s="35"/>
      <c r="AA1" s="35"/>
      <c r="AB1" s="35"/>
      <c r="AC1" s="35"/>
      <c r="AD1" s="35"/>
      <c r="AE1" s="35">
        <f>ROW(タイプA)</f>
        <v>11</v>
      </c>
      <c r="AF1" s="35"/>
      <c r="AG1" s="35"/>
      <c r="AH1" s="35"/>
    </row>
    <row r="2" spans="1:63" ht="36.5" customHeight="1" thickTop="1" thickBot="1">
      <c r="B2" s="132" t="s">
        <v>127</v>
      </c>
      <c r="C2" s="133"/>
      <c r="D2" s="133"/>
      <c r="E2" s="133"/>
      <c r="F2" s="133"/>
      <c r="G2" s="133"/>
      <c r="H2" s="133"/>
      <c r="I2" s="133"/>
      <c r="J2" s="134"/>
      <c r="K2" s="36" t="s">
        <v>25</v>
      </c>
      <c r="L2" s="135" t="s">
        <v>148</v>
      </c>
      <c r="M2" s="136"/>
      <c r="N2" s="136"/>
      <c r="O2" s="136"/>
      <c r="P2" s="137"/>
      <c r="U2" s="35" t="s">
        <v>134</v>
      </c>
      <c r="V2" s="35">
        <v>0</v>
      </c>
      <c r="W2" s="35">
        <v>0</v>
      </c>
      <c r="X2" s="35">
        <v>0</v>
      </c>
      <c r="Y2" s="35">
        <v>0</v>
      </c>
      <c r="Z2" s="37" t="s">
        <v>32</v>
      </c>
      <c r="AA2" s="35" t="s">
        <v>2</v>
      </c>
      <c r="AB2" s="35">
        <f>1000*60</f>
        <v>60000</v>
      </c>
      <c r="AC2" s="35" t="s">
        <v>20</v>
      </c>
      <c r="AD2" s="35">
        <v>1000</v>
      </c>
      <c r="AE2" s="35">
        <f>COLUMN(タイプA)</f>
        <v>21</v>
      </c>
      <c r="AF2" s="35"/>
      <c r="AG2" s="35"/>
      <c r="AH2" s="35"/>
    </row>
    <row r="3" spans="1:63" ht="35" customHeight="1" thickTop="1" thickBot="1">
      <c r="B3" s="138" t="s">
        <v>97</v>
      </c>
      <c r="C3" s="139"/>
      <c r="D3" s="139"/>
      <c r="E3" s="139"/>
      <c r="F3" s="139"/>
      <c r="G3" s="139"/>
      <c r="H3" s="139"/>
      <c r="I3" s="139"/>
      <c r="J3" s="140"/>
      <c r="K3" s="38" t="s">
        <v>24</v>
      </c>
      <c r="L3" s="141" t="s">
        <v>147</v>
      </c>
      <c r="M3" s="136"/>
      <c r="N3" s="136"/>
      <c r="O3" s="136"/>
      <c r="P3" s="137"/>
      <c r="Q3" s="39"/>
      <c r="U3" s="35" t="s">
        <v>135</v>
      </c>
      <c r="V3" s="35">
        <v>0</v>
      </c>
      <c r="W3" s="35">
        <v>0</v>
      </c>
      <c r="X3" s="35">
        <v>0</v>
      </c>
      <c r="Y3" s="35">
        <v>0</v>
      </c>
      <c r="Z3" s="37" t="s">
        <v>33</v>
      </c>
      <c r="AA3" s="35" t="s">
        <v>13</v>
      </c>
      <c r="AB3" s="35">
        <f>60*60</f>
        <v>3600</v>
      </c>
      <c r="AC3" s="35" t="s">
        <v>21</v>
      </c>
      <c r="AD3" s="35">
        <v>100</v>
      </c>
      <c r="AE3" s="35">
        <f>COLUMN(タイプB)</f>
        <v>28</v>
      </c>
      <c r="AF3" s="35"/>
      <c r="AG3" s="35"/>
      <c r="AH3" s="35"/>
    </row>
    <row r="4" spans="1:63" ht="8.5" customHeight="1" thickTop="1">
      <c r="B4" s="40"/>
      <c r="C4" s="40"/>
      <c r="D4" s="40"/>
      <c r="E4" s="41"/>
      <c r="F4" s="40"/>
      <c r="G4" s="40"/>
      <c r="H4" s="40"/>
      <c r="I4" s="40"/>
      <c r="J4" s="40"/>
      <c r="K4" s="40"/>
      <c r="L4" s="42"/>
      <c r="M4" s="42"/>
      <c r="N4" s="42"/>
      <c r="O4" s="42"/>
      <c r="P4" s="42"/>
      <c r="U4" s="35" t="s">
        <v>136</v>
      </c>
      <c r="V4" s="35">
        <v>-2</v>
      </c>
      <c r="W4" s="35">
        <v>3</v>
      </c>
      <c r="X4" s="35">
        <v>0</v>
      </c>
      <c r="Y4" s="35">
        <v>0</v>
      </c>
      <c r="Z4" s="37" t="s">
        <v>34</v>
      </c>
      <c r="AA4" s="35" t="s">
        <v>14</v>
      </c>
      <c r="AB4" s="35">
        <v>1</v>
      </c>
      <c r="AC4" s="35" t="s">
        <v>22</v>
      </c>
      <c r="AD4" s="35">
        <v>1</v>
      </c>
      <c r="AE4" s="35">
        <f>COLUMN(タイプC)</f>
        <v>35</v>
      </c>
      <c r="AF4" s="35"/>
      <c r="AG4" s="35"/>
      <c r="AH4" s="35"/>
    </row>
    <row r="5" spans="1:63" ht="24" customHeight="1" thickBot="1">
      <c r="A5" s="43"/>
      <c r="B5" s="142" t="s">
        <v>26</v>
      </c>
      <c r="C5" s="142"/>
      <c r="D5" s="142"/>
      <c r="E5" s="142"/>
      <c r="F5" s="142"/>
      <c r="G5" s="142"/>
      <c r="H5" s="142" t="s">
        <v>63</v>
      </c>
      <c r="I5" s="142"/>
      <c r="J5" s="142"/>
      <c r="K5" s="142"/>
      <c r="L5" s="142"/>
      <c r="M5" s="142"/>
      <c r="N5" s="142"/>
      <c r="O5" s="142"/>
      <c r="P5" s="142"/>
      <c r="Q5" s="39"/>
      <c r="U5" s="35" t="s">
        <v>137</v>
      </c>
      <c r="V5" s="35">
        <v>0</v>
      </c>
      <c r="W5" s="35">
        <v>0</v>
      </c>
      <c r="X5" s="35">
        <v>-2</v>
      </c>
      <c r="Y5" s="35">
        <v>3</v>
      </c>
      <c r="Z5" s="37" t="s">
        <v>35</v>
      </c>
      <c r="AA5" s="35"/>
      <c r="AB5" s="35"/>
      <c r="AC5" s="35"/>
      <c r="AD5" s="35"/>
      <c r="AE5" s="35">
        <f>COLUMN(タイプD)</f>
        <v>42</v>
      </c>
      <c r="AF5" s="35"/>
      <c r="AG5" s="35"/>
      <c r="AH5" s="35"/>
    </row>
    <row r="6" spans="1:63" ht="35" customHeight="1" thickTop="1" thickBot="1">
      <c r="A6" s="43"/>
      <c r="B6" s="143" t="s">
        <v>187</v>
      </c>
      <c r="C6" s="144"/>
      <c r="D6" s="144"/>
      <c r="E6" s="144"/>
      <c r="F6" s="144"/>
      <c r="G6" s="144"/>
      <c r="H6" s="144" t="s">
        <v>118</v>
      </c>
      <c r="I6" s="144"/>
      <c r="J6" s="144"/>
      <c r="K6" s="144"/>
      <c r="L6" s="144"/>
      <c r="M6" s="144"/>
      <c r="N6" s="144"/>
      <c r="O6" s="144"/>
      <c r="P6" s="144"/>
      <c r="Q6" s="39"/>
      <c r="U6" s="35" t="s">
        <v>138</v>
      </c>
      <c r="V6" s="35">
        <v>0</v>
      </c>
      <c r="W6" s="35">
        <v>0</v>
      </c>
      <c r="X6" s="35">
        <v>-2</v>
      </c>
      <c r="Y6" s="35">
        <v>3</v>
      </c>
      <c r="Z6" s="37" t="s">
        <v>36</v>
      </c>
      <c r="AA6" s="35"/>
      <c r="AB6" s="35"/>
      <c r="AC6" s="35"/>
      <c r="AD6" s="35"/>
      <c r="AE6" s="35">
        <f>COLUMN(タイプE)</f>
        <v>49</v>
      </c>
      <c r="AF6" s="35"/>
      <c r="AG6" s="35"/>
      <c r="AH6" s="35"/>
    </row>
    <row r="7" spans="1:63" ht="7.5" customHeight="1" thickTop="1">
      <c r="B7" s="44"/>
      <c r="C7" s="44"/>
      <c r="D7" s="44"/>
      <c r="E7" s="45"/>
      <c r="F7" s="44"/>
      <c r="G7" s="44"/>
      <c r="H7" s="44"/>
      <c r="I7" s="44"/>
      <c r="J7" s="44"/>
      <c r="K7" s="44"/>
      <c r="L7" s="44"/>
      <c r="M7" s="44"/>
      <c r="N7" s="44"/>
      <c r="O7" s="44"/>
      <c r="P7" s="44"/>
      <c r="U7" s="35" t="s">
        <v>139</v>
      </c>
      <c r="V7" s="35">
        <v>-2</v>
      </c>
      <c r="W7" s="35">
        <v>3</v>
      </c>
      <c r="X7" s="35">
        <v>-2</v>
      </c>
      <c r="Y7" s="35">
        <v>3</v>
      </c>
      <c r="Z7" s="37" t="s">
        <v>37</v>
      </c>
      <c r="AA7" s="35"/>
      <c r="AB7" s="35"/>
      <c r="AC7" s="35"/>
      <c r="AD7" s="35"/>
      <c r="AE7" s="35">
        <f>COLUMN(タイプF)</f>
        <v>56</v>
      </c>
      <c r="AF7" s="35"/>
      <c r="AG7" s="35"/>
      <c r="AH7" s="35"/>
    </row>
    <row r="8" spans="1:63" ht="15.65" customHeight="1">
      <c r="B8" s="40" t="s">
        <v>3</v>
      </c>
      <c r="C8" s="40"/>
      <c r="D8" s="40"/>
      <c r="E8" s="40"/>
      <c r="F8" s="40"/>
      <c r="G8" s="40"/>
      <c r="H8" s="40"/>
      <c r="I8" s="41"/>
      <c r="J8" s="46"/>
      <c r="K8" s="40"/>
      <c r="L8" s="40"/>
      <c r="M8" s="40"/>
      <c r="N8" s="40"/>
      <c r="O8" s="40"/>
      <c r="P8" s="47" t="s">
        <v>77</v>
      </c>
      <c r="U8" s="35"/>
      <c r="V8" s="35"/>
      <c r="W8" s="35"/>
      <c r="X8" s="35"/>
      <c r="Y8" s="35"/>
      <c r="Z8" s="35"/>
      <c r="AA8" s="35"/>
      <c r="AB8" s="35"/>
      <c r="AC8" s="35"/>
      <c r="AD8" s="35"/>
      <c r="AE8" s="35"/>
      <c r="AF8" s="35"/>
      <c r="AG8" s="35"/>
      <c r="AH8" s="35"/>
    </row>
    <row r="9" spans="1:63" ht="37" customHeight="1" thickBot="1">
      <c r="A9" s="43"/>
      <c r="B9" s="115" t="s">
        <v>27</v>
      </c>
      <c r="C9" s="115"/>
      <c r="D9" s="115"/>
      <c r="E9" s="115"/>
      <c r="F9" s="115"/>
      <c r="G9" s="48" t="s">
        <v>28</v>
      </c>
      <c r="H9" s="116" t="s">
        <v>29</v>
      </c>
      <c r="I9" s="116"/>
      <c r="J9" s="145" t="s">
        <v>113</v>
      </c>
      <c r="K9" s="115"/>
      <c r="L9" s="115"/>
      <c r="M9" s="115"/>
      <c r="N9" s="115"/>
      <c r="O9" s="115"/>
      <c r="P9" s="115"/>
      <c r="Q9" s="39"/>
      <c r="U9" s="35"/>
      <c r="V9" s="35"/>
      <c r="W9" s="35"/>
      <c r="X9" s="35"/>
      <c r="Y9" s="35" t="s">
        <v>140</v>
      </c>
      <c r="Z9" s="35" t="s">
        <v>141</v>
      </c>
      <c r="AA9" s="35" t="s">
        <v>142</v>
      </c>
      <c r="AB9" s="35" t="s">
        <v>143</v>
      </c>
      <c r="AC9" s="35" t="s">
        <v>144</v>
      </c>
      <c r="AD9" s="35" t="s">
        <v>145</v>
      </c>
      <c r="AE9" s="35"/>
      <c r="AF9" s="37"/>
      <c r="AG9" s="35"/>
      <c r="AH9" s="35"/>
    </row>
    <row r="10" spans="1:63" ht="77" customHeight="1" thickTop="1" thickBot="1">
      <c r="A10" s="43"/>
      <c r="B10" s="125" t="s">
        <v>4</v>
      </c>
      <c r="C10" s="126"/>
      <c r="D10" s="126"/>
      <c r="E10" s="126"/>
      <c r="F10" s="127"/>
      <c r="G10" s="49" t="s">
        <v>31</v>
      </c>
      <c r="H10" s="128" t="s">
        <v>114</v>
      </c>
      <c r="I10" s="129"/>
      <c r="J10" s="130" t="str">
        <f ca="1">"※「熱交換器の有無」「井水槽の有無」「熱交換後の熱源水を井水槽に戻すかどうか」により「タイプ」を選択する。"
&amp; IF($H$10="","","選択した「"&amp;$H$10&amp;"」は"&amp;INDIRECT(ADDRESS(ROW($Z$1)+MATCH($H$10,$U$2:$U$7),COLUMN($Z$1))) &amp; "で構成される。")
&amp; "タイプに応じて、設置されるポンプの性能値を以下に入力する。"</f>
        <v>※「熱交換器の有無」「井水槽の有無」「熱交換後の熱源水を井水槽に戻すかどうか」により「タイプ」を選択する。選択した「タイプF」は「熱交換器あり」「井水槽あり」「熱交換後の熱源水を井水槽に戻す」で構成される。タイプに応じて、設置されるポンプの性能値を以下に入力する。</v>
      </c>
      <c r="K10" s="130"/>
      <c r="L10" s="130"/>
      <c r="M10" s="130"/>
      <c r="N10" s="130"/>
      <c r="O10" s="130"/>
      <c r="P10" s="131"/>
      <c r="Q10" s="39"/>
      <c r="U10" s="50"/>
      <c r="V10" s="50"/>
      <c r="W10" s="50"/>
      <c r="X10" s="50"/>
      <c r="Y10" s="50"/>
      <c r="Z10" s="50"/>
      <c r="AA10" s="50"/>
      <c r="AB10" s="50"/>
      <c r="AC10" s="50"/>
      <c r="AD10" s="50"/>
      <c r="AE10" s="50"/>
      <c r="AF10" s="50"/>
      <c r="AG10" s="50"/>
      <c r="AH10" s="5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row>
    <row r="11" spans="1:63" ht="44.5" customHeight="1" thickTop="1">
      <c r="A11" s="43"/>
      <c r="B11" s="95"/>
      <c r="C11" s="96"/>
      <c r="D11" s="96"/>
      <c r="E11" s="96"/>
      <c r="F11" s="96"/>
      <c r="G11" s="96"/>
      <c r="H11" s="96"/>
      <c r="I11" s="97"/>
      <c r="J11" s="105"/>
      <c r="K11" s="105"/>
      <c r="L11" s="105"/>
      <c r="M11" s="105"/>
      <c r="N11" s="105"/>
      <c r="O11" s="105"/>
      <c r="P11" s="106"/>
      <c r="Q11" s="39"/>
      <c r="T11" s="43"/>
      <c r="U11" s="89"/>
      <c r="V11" s="89"/>
      <c r="W11" s="89"/>
      <c r="X11" s="89"/>
      <c r="Y11" s="89"/>
      <c r="Z11" s="89"/>
      <c r="AA11" s="89"/>
      <c r="AB11" s="89"/>
      <c r="AC11" s="89"/>
      <c r="AD11" s="89"/>
      <c r="AE11" s="89"/>
      <c r="AF11" s="89"/>
      <c r="AG11" s="89"/>
      <c r="AH11" s="89"/>
      <c r="AI11" s="92"/>
      <c r="AJ11" s="92"/>
      <c r="AK11" s="92"/>
      <c r="AL11" s="92"/>
      <c r="AM11" s="92"/>
      <c r="AN11" s="92"/>
      <c r="AO11" s="92"/>
      <c r="AP11" s="92"/>
      <c r="AQ11" s="92"/>
      <c r="AR11" s="92"/>
      <c r="AS11" s="92"/>
      <c r="AT11" s="92"/>
      <c r="AU11" s="92"/>
      <c r="AV11" s="92"/>
      <c r="AW11" s="92"/>
      <c r="AX11" s="92"/>
      <c r="AY11" s="92"/>
      <c r="AZ11" s="92"/>
      <c r="BA11" s="92"/>
      <c r="BB11" s="92"/>
      <c r="BC11" s="92"/>
      <c r="BD11" s="92"/>
      <c r="BE11" s="92"/>
      <c r="BF11" s="92"/>
      <c r="BG11" s="92"/>
      <c r="BH11" s="92"/>
      <c r="BI11" s="92"/>
      <c r="BJ11" s="92"/>
      <c r="BK11" s="39"/>
    </row>
    <row r="12" spans="1:63" ht="44.5" customHeight="1">
      <c r="A12" s="43"/>
      <c r="B12" s="95"/>
      <c r="C12" s="96"/>
      <c r="D12" s="96"/>
      <c r="E12" s="96"/>
      <c r="F12" s="96"/>
      <c r="G12" s="96"/>
      <c r="H12" s="96"/>
      <c r="I12" s="97"/>
      <c r="J12" s="105"/>
      <c r="K12" s="105"/>
      <c r="L12" s="105"/>
      <c r="M12" s="105"/>
      <c r="N12" s="105"/>
      <c r="O12" s="105"/>
      <c r="P12" s="106"/>
      <c r="Q12" s="39"/>
      <c r="T12" s="43"/>
      <c r="U12" s="90"/>
      <c r="V12" s="90"/>
      <c r="W12" s="90"/>
      <c r="X12" s="90"/>
      <c r="Y12" s="90"/>
      <c r="Z12" s="90"/>
      <c r="AA12" s="90"/>
      <c r="AB12" s="90"/>
      <c r="AC12" s="90"/>
      <c r="AD12" s="90"/>
      <c r="AE12" s="90"/>
      <c r="AF12" s="90"/>
      <c r="AG12" s="90"/>
      <c r="AH12" s="90"/>
      <c r="AI12" s="93"/>
      <c r="AJ12" s="93"/>
      <c r="AK12" s="93"/>
      <c r="AL12" s="93"/>
      <c r="AM12" s="93"/>
      <c r="AN12" s="93"/>
      <c r="AO12" s="93"/>
      <c r="AP12" s="93"/>
      <c r="AQ12" s="93"/>
      <c r="AR12" s="93"/>
      <c r="AS12" s="93"/>
      <c r="AT12" s="93"/>
      <c r="AU12" s="93"/>
      <c r="AV12" s="93"/>
      <c r="AW12" s="93"/>
      <c r="AX12" s="93"/>
      <c r="AY12" s="93"/>
      <c r="AZ12" s="93"/>
      <c r="BA12" s="93"/>
      <c r="BB12" s="93"/>
      <c r="BC12" s="93"/>
      <c r="BD12" s="93"/>
      <c r="BE12" s="93"/>
      <c r="BF12" s="93"/>
      <c r="BG12" s="93"/>
      <c r="BH12" s="93"/>
      <c r="BI12" s="93"/>
      <c r="BJ12" s="93"/>
      <c r="BK12" s="39"/>
    </row>
    <row r="13" spans="1:63" ht="44.5" customHeight="1">
      <c r="A13" s="43"/>
      <c r="B13" s="95"/>
      <c r="C13" s="96"/>
      <c r="D13" s="96"/>
      <c r="E13" s="96"/>
      <c r="F13" s="96"/>
      <c r="G13" s="96"/>
      <c r="H13" s="96"/>
      <c r="I13" s="97"/>
      <c r="J13" s="105"/>
      <c r="K13" s="105"/>
      <c r="L13" s="105"/>
      <c r="M13" s="105"/>
      <c r="N13" s="105"/>
      <c r="O13" s="105"/>
      <c r="P13" s="106"/>
      <c r="Q13" s="39"/>
      <c r="T13" s="43"/>
      <c r="U13" s="90"/>
      <c r="V13" s="90"/>
      <c r="W13" s="90"/>
      <c r="X13" s="90"/>
      <c r="Y13" s="90"/>
      <c r="Z13" s="90"/>
      <c r="AA13" s="90"/>
      <c r="AB13" s="90"/>
      <c r="AC13" s="90"/>
      <c r="AD13" s="90"/>
      <c r="AE13" s="90"/>
      <c r="AF13" s="90"/>
      <c r="AG13" s="90"/>
      <c r="AH13" s="90"/>
      <c r="AI13" s="93"/>
      <c r="AJ13" s="93"/>
      <c r="AK13" s="93"/>
      <c r="AL13" s="93"/>
      <c r="AM13" s="93"/>
      <c r="AN13" s="93"/>
      <c r="AO13" s="93"/>
      <c r="AP13" s="93"/>
      <c r="AQ13" s="93"/>
      <c r="AR13" s="93"/>
      <c r="AS13" s="93"/>
      <c r="AT13" s="93"/>
      <c r="AU13" s="93"/>
      <c r="AV13" s="93"/>
      <c r="AW13" s="93"/>
      <c r="AX13" s="93"/>
      <c r="AY13" s="93"/>
      <c r="AZ13" s="93"/>
      <c r="BA13" s="93"/>
      <c r="BB13" s="93"/>
      <c r="BC13" s="93"/>
      <c r="BD13" s="93"/>
      <c r="BE13" s="93"/>
      <c r="BF13" s="93"/>
      <c r="BG13" s="93"/>
      <c r="BH13" s="93"/>
      <c r="BI13" s="93"/>
      <c r="BJ13" s="93"/>
      <c r="BK13" s="39"/>
    </row>
    <row r="14" spans="1:63" ht="44.5" customHeight="1">
      <c r="A14" s="43"/>
      <c r="B14" s="95"/>
      <c r="C14" s="96"/>
      <c r="D14" s="96"/>
      <c r="E14" s="96"/>
      <c r="F14" s="96"/>
      <c r="G14" s="96"/>
      <c r="H14" s="96"/>
      <c r="I14" s="97"/>
      <c r="J14" s="105"/>
      <c r="K14" s="105"/>
      <c r="L14" s="105"/>
      <c r="M14" s="105"/>
      <c r="N14" s="105"/>
      <c r="O14" s="105"/>
      <c r="P14" s="106"/>
      <c r="Q14" s="39"/>
      <c r="T14" s="43"/>
      <c r="U14" s="90"/>
      <c r="V14" s="90"/>
      <c r="W14" s="90"/>
      <c r="X14" s="90"/>
      <c r="Y14" s="90"/>
      <c r="Z14" s="90"/>
      <c r="AA14" s="90"/>
      <c r="AB14" s="90"/>
      <c r="AC14" s="90"/>
      <c r="AD14" s="90"/>
      <c r="AE14" s="90"/>
      <c r="AF14" s="90"/>
      <c r="AG14" s="90"/>
      <c r="AH14" s="90"/>
      <c r="AI14" s="93"/>
      <c r="AJ14" s="93"/>
      <c r="AK14" s="93"/>
      <c r="AL14" s="93"/>
      <c r="AM14" s="93"/>
      <c r="AN14" s="93"/>
      <c r="AO14" s="93"/>
      <c r="AP14" s="93"/>
      <c r="AQ14" s="93"/>
      <c r="AR14" s="93"/>
      <c r="AS14" s="93"/>
      <c r="AT14" s="93"/>
      <c r="AU14" s="93"/>
      <c r="AV14" s="93"/>
      <c r="AW14" s="93"/>
      <c r="AX14" s="93"/>
      <c r="AY14" s="93"/>
      <c r="AZ14" s="93"/>
      <c r="BA14" s="93"/>
      <c r="BB14" s="93"/>
      <c r="BC14" s="93"/>
      <c r="BD14" s="93"/>
      <c r="BE14" s="93"/>
      <c r="BF14" s="93"/>
      <c r="BG14" s="93"/>
      <c r="BH14" s="93"/>
      <c r="BI14" s="93"/>
      <c r="BJ14" s="93"/>
      <c r="BK14" s="39"/>
    </row>
    <row r="15" spans="1:63" ht="44.5" customHeight="1">
      <c r="A15" s="43"/>
      <c r="B15" s="95"/>
      <c r="C15" s="96"/>
      <c r="D15" s="96"/>
      <c r="E15" s="96"/>
      <c r="F15" s="96"/>
      <c r="G15" s="96"/>
      <c r="H15" s="96"/>
      <c r="I15" s="97"/>
      <c r="J15" s="105"/>
      <c r="K15" s="105"/>
      <c r="L15" s="105"/>
      <c r="M15" s="105"/>
      <c r="N15" s="105"/>
      <c r="O15" s="105"/>
      <c r="P15" s="106"/>
      <c r="Q15" s="39"/>
      <c r="T15" s="43"/>
      <c r="U15" s="90"/>
      <c r="V15" s="90"/>
      <c r="W15" s="90"/>
      <c r="X15" s="90"/>
      <c r="Y15" s="90"/>
      <c r="Z15" s="90"/>
      <c r="AA15" s="90"/>
      <c r="AB15" s="90"/>
      <c r="AC15" s="90"/>
      <c r="AD15" s="90"/>
      <c r="AE15" s="90"/>
      <c r="AF15" s="90"/>
      <c r="AG15" s="90"/>
      <c r="AH15" s="90"/>
      <c r="AI15" s="93"/>
      <c r="AJ15" s="93"/>
      <c r="AK15" s="93"/>
      <c r="AL15" s="93"/>
      <c r="AM15" s="93"/>
      <c r="AN15" s="93"/>
      <c r="AO15" s="93"/>
      <c r="AP15" s="93"/>
      <c r="AQ15" s="93"/>
      <c r="AR15" s="93"/>
      <c r="AS15" s="93"/>
      <c r="AT15" s="93"/>
      <c r="AU15" s="93"/>
      <c r="AV15" s="93"/>
      <c r="AW15" s="93"/>
      <c r="AX15" s="93"/>
      <c r="AY15" s="93"/>
      <c r="AZ15" s="93"/>
      <c r="BA15" s="93"/>
      <c r="BB15" s="93"/>
      <c r="BC15" s="93"/>
      <c r="BD15" s="93"/>
      <c r="BE15" s="93"/>
      <c r="BF15" s="93"/>
      <c r="BG15" s="93"/>
      <c r="BH15" s="93"/>
      <c r="BI15" s="93"/>
      <c r="BJ15" s="93"/>
      <c r="BK15" s="39"/>
    </row>
    <row r="16" spans="1:63" ht="44.5" customHeight="1">
      <c r="A16" s="43"/>
      <c r="B16" s="95"/>
      <c r="C16" s="96"/>
      <c r="D16" s="96"/>
      <c r="E16" s="96"/>
      <c r="F16" s="96"/>
      <c r="G16" s="96"/>
      <c r="H16" s="96"/>
      <c r="I16" s="97"/>
      <c r="J16" s="105"/>
      <c r="K16" s="105"/>
      <c r="L16" s="105"/>
      <c r="M16" s="105"/>
      <c r="N16" s="105"/>
      <c r="O16" s="105"/>
      <c r="P16" s="106"/>
      <c r="Q16" s="39"/>
      <c r="T16" s="43"/>
      <c r="U16" s="90"/>
      <c r="V16" s="90"/>
      <c r="W16" s="90"/>
      <c r="X16" s="90"/>
      <c r="Y16" s="90"/>
      <c r="Z16" s="90"/>
      <c r="AA16" s="90"/>
      <c r="AB16" s="90"/>
      <c r="AC16" s="90"/>
      <c r="AD16" s="90"/>
      <c r="AE16" s="90"/>
      <c r="AF16" s="90"/>
      <c r="AG16" s="90"/>
      <c r="AH16" s="90"/>
      <c r="AI16" s="93"/>
      <c r="AJ16" s="93"/>
      <c r="AK16" s="93"/>
      <c r="AL16" s="93"/>
      <c r="AM16" s="93"/>
      <c r="AN16" s="93"/>
      <c r="AO16" s="93"/>
      <c r="AP16" s="93"/>
      <c r="AQ16" s="93"/>
      <c r="AR16" s="93"/>
      <c r="AS16" s="93"/>
      <c r="AT16" s="93"/>
      <c r="AU16" s="93"/>
      <c r="AV16" s="93"/>
      <c r="AW16" s="93"/>
      <c r="AX16" s="93"/>
      <c r="AY16" s="93"/>
      <c r="AZ16" s="93"/>
      <c r="BA16" s="93"/>
      <c r="BB16" s="93"/>
      <c r="BC16" s="93"/>
      <c r="BD16" s="93"/>
      <c r="BE16" s="93"/>
      <c r="BF16" s="93"/>
      <c r="BG16" s="93"/>
      <c r="BH16" s="93"/>
      <c r="BI16" s="93"/>
      <c r="BJ16" s="93"/>
      <c r="BK16" s="39"/>
    </row>
    <row r="17" spans="1:63" ht="44.5" customHeight="1">
      <c r="A17" s="43"/>
      <c r="B17" s="95"/>
      <c r="C17" s="96"/>
      <c r="D17" s="96"/>
      <c r="E17" s="96"/>
      <c r="F17" s="96"/>
      <c r="G17" s="96"/>
      <c r="H17" s="96"/>
      <c r="I17" s="97"/>
      <c r="J17" s="105"/>
      <c r="K17" s="105"/>
      <c r="L17" s="105"/>
      <c r="M17" s="105"/>
      <c r="N17" s="105"/>
      <c r="O17" s="105"/>
      <c r="P17" s="106"/>
      <c r="Q17" s="39"/>
      <c r="T17" s="43"/>
      <c r="U17" s="90"/>
      <c r="V17" s="90"/>
      <c r="W17" s="90"/>
      <c r="X17" s="90"/>
      <c r="Y17" s="90"/>
      <c r="Z17" s="90"/>
      <c r="AA17" s="90"/>
      <c r="AB17" s="90"/>
      <c r="AC17" s="90"/>
      <c r="AD17" s="90"/>
      <c r="AE17" s="90"/>
      <c r="AF17" s="90"/>
      <c r="AG17" s="90"/>
      <c r="AH17" s="90"/>
      <c r="AI17" s="93"/>
      <c r="AJ17" s="93"/>
      <c r="AK17" s="93"/>
      <c r="AL17" s="93"/>
      <c r="AM17" s="93"/>
      <c r="AN17" s="93"/>
      <c r="AO17" s="93"/>
      <c r="AP17" s="93"/>
      <c r="AQ17" s="93"/>
      <c r="AR17" s="93"/>
      <c r="AS17" s="93"/>
      <c r="AT17" s="93"/>
      <c r="AU17" s="93"/>
      <c r="AV17" s="93"/>
      <c r="AW17" s="93"/>
      <c r="AX17" s="93"/>
      <c r="AY17" s="93"/>
      <c r="AZ17" s="93"/>
      <c r="BA17" s="93"/>
      <c r="BB17" s="93"/>
      <c r="BC17" s="93"/>
      <c r="BD17" s="93"/>
      <c r="BE17" s="93"/>
      <c r="BF17" s="93"/>
      <c r="BG17" s="93"/>
      <c r="BH17" s="93"/>
      <c r="BI17" s="93"/>
      <c r="BJ17" s="93"/>
      <c r="BK17" s="39"/>
    </row>
    <row r="18" spans="1:63" ht="44.5" customHeight="1">
      <c r="A18" s="43"/>
      <c r="B18" s="98"/>
      <c r="C18" s="99"/>
      <c r="D18" s="99"/>
      <c r="E18" s="99"/>
      <c r="F18" s="99"/>
      <c r="G18" s="99"/>
      <c r="H18" s="99"/>
      <c r="I18" s="100"/>
      <c r="J18" s="107"/>
      <c r="K18" s="107"/>
      <c r="L18" s="107"/>
      <c r="M18" s="107"/>
      <c r="N18" s="107"/>
      <c r="O18" s="107"/>
      <c r="P18" s="108"/>
      <c r="Q18" s="39"/>
      <c r="T18" s="43"/>
      <c r="U18" s="91"/>
      <c r="V18" s="91"/>
      <c r="W18" s="91"/>
      <c r="X18" s="91"/>
      <c r="Y18" s="91"/>
      <c r="Z18" s="91"/>
      <c r="AA18" s="91"/>
      <c r="AB18" s="91"/>
      <c r="AC18" s="91"/>
      <c r="AD18" s="91"/>
      <c r="AE18" s="91"/>
      <c r="AF18" s="91"/>
      <c r="AG18" s="91"/>
      <c r="AH18" s="91"/>
      <c r="AI18" s="94"/>
      <c r="AJ18" s="94"/>
      <c r="AK18" s="94"/>
      <c r="AL18" s="94"/>
      <c r="AM18" s="94"/>
      <c r="AN18" s="94"/>
      <c r="AO18" s="94"/>
      <c r="AP18" s="94"/>
      <c r="AQ18" s="94"/>
      <c r="AR18" s="94"/>
      <c r="AS18" s="94"/>
      <c r="AT18" s="94"/>
      <c r="AU18" s="94"/>
      <c r="AV18" s="94"/>
      <c r="AW18" s="94"/>
      <c r="AX18" s="94"/>
      <c r="AY18" s="94"/>
      <c r="AZ18" s="94"/>
      <c r="BA18" s="94"/>
      <c r="BB18" s="94"/>
      <c r="BC18" s="94"/>
      <c r="BD18" s="94"/>
      <c r="BE18" s="94"/>
      <c r="BF18" s="94"/>
      <c r="BG18" s="94"/>
      <c r="BH18" s="94"/>
      <c r="BI18" s="94"/>
      <c r="BJ18" s="94"/>
      <c r="BK18" s="39"/>
    </row>
    <row r="19" spans="1:63" ht="30.5" customHeight="1" thickBot="1">
      <c r="A19" s="43"/>
      <c r="B19" s="109" t="s">
        <v>106</v>
      </c>
      <c r="C19" s="109"/>
      <c r="D19" s="109"/>
      <c r="E19" s="109"/>
      <c r="F19" s="109"/>
      <c r="G19" s="109"/>
      <c r="H19" s="102"/>
      <c r="I19" s="102"/>
      <c r="J19" s="110" t="s">
        <v>115</v>
      </c>
      <c r="K19" s="104"/>
      <c r="L19" s="104"/>
      <c r="M19" s="104"/>
      <c r="N19" s="104"/>
      <c r="O19" s="104"/>
      <c r="P19" s="104"/>
      <c r="Q19" s="39"/>
      <c r="U19" s="51"/>
      <c r="V19" s="51"/>
      <c r="W19" s="51"/>
      <c r="X19" s="51"/>
      <c r="Y19" s="51" t="s">
        <v>146</v>
      </c>
      <c r="Z19" s="51" t="s">
        <v>146</v>
      </c>
      <c r="AA19" s="51" t="s">
        <v>146</v>
      </c>
      <c r="AB19" s="51" t="s">
        <v>146</v>
      </c>
      <c r="AC19" s="51" t="s">
        <v>146</v>
      </c>
      <c r="AD19" s="51" t="s">
        <v>146</v>
      </c>
      <c r="AE19" s="51"/>
      <c r="AF19" s="51"/>
      <c r="AG19" s="51"/>
      <c r="AH19" s="51"/>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row>
    <row r="20" spans="1:63" ht="30.5" customHeight="1" thickTop="1" thickBot="1">
      <c r="A20" s="43"/>
      <c r="B20" s="117" t="s">
        <v>107</v>
      </c>
      <c r="C20" s="118"/>
      <c r="D20" s="118"/>
      <c r="E20" s="118"/>
      <c r="F20" s="119"/>
      <c r="G20" s="52" t="s">
        <v>0</v>
      </c>
      <c r="H20" s="120">
        <v>0.75</v>
      </c>
      <c r="I20" s="120"/>
      <c r="J20" s="124" t="str">
        <f>"※揚水ポンプの定格消費電力"&amp;IF(OR($H$10=$U$2,$H$10=$U$5),"","、定格流量")&amp;"を入力する。有効桁数4桁で四捨五入して入力する。"
&amp; IF(OR($H$10=$U$2,$H$10=$U$5),"",CHAR(10) &amp; "※流量の単位は「L/min」「m3/h」「m3/s」から選択できる(ただし、以下で入力する流量は、すべてここで選択した単位で入力すること)。")</f>
        <v>※揚水ポンプの定格消費電力、定格流量を入力する。有効桁数4桁で四捨五入して入力する。
※流量の単位は「L/min」「m3/h」「m3/s」から選択できる(ただし、以下で入力する流量は、すべてここで選択した単位で入力すること)。</v>
      </c>
      <c r="K20" s="114"/>
      <c r="L20" s="114"/>
      <c r="M20" s="114"/>
      <c r="N20" s="114"/>
      <c r="O20" s="114"/>
      <c r="P20" s="114"/>
      <c r="Q20" s="39"/>
      <c r="U20" s="35"/>
      <c r="V20" s="35">
        <f xml:space="preserve"> IF(H20&lt;=0,0,ROUND(H20, 2-INT(LOG(ABS(H20))))
)</f>
        <v>0.75</v>
      </c>
      <c r="W20" s="37" t="str">
        <f>IF(H20&gt;0,"○","×")</f>
        <v>○</v>
      </c>
      <c r="X20" s="35"/>
      <c r="Y20" s="35" t="s">
        <v>146</v>
      </c>
      <c r="Z20" s="35" t="s">
        <v>146</v>
      </c>
      <c r="AA20" s="35" t="s">
        <v>146</v>
      </c>
      <c r="AB20" s="35" t="s">
        <v>146</v>
      </c>
      <c r="AC20" s="35" t="s">
        <v>146</v>
      </c>
      <c r="AD20" s="35" t="s">
        <v>146</v>
      </c>
      <c r="AE20" s="35"/>
      <c r="AF20" s="35"/>
      <c r="AG20" s="35"/>
      <c r="AH20" s="35"/>
    </row>
    <row r="21" spans="1:63" ht="30.5" customHeight="1" thickTop="1" thickBot="1">
      <c r="A21" s="43"/>
      <c r="B21" s="121" t="s">
        <v>108</v>
      </c>
      <c r="C21" s="122"/>
      <c r="D21" s="122"/>
      <c r="E21" s="122"/>
      <c r="F21" s="123"/>
      <c r="G21" s="1" t="s">
        <v>2</v>
      </c>
      <c r="H21" s="120">
        <v>50</v>
      </c>
      <c r="I21" s="120"/>
      <c r="J21" s="113"/>
      <c r="K21" s="114"/>
      <c r="L21" s="114"/>
      <c r="M21" s="114"/>
      <c r="N21" s="114"/>
      <c r="O21" s="114"/>
      <c r="P21" s="114"/>
      <c r="Q21" s="39"/>
      <c r="U21" s="35"/>
      <c r="V21" s="35">
        <f xml:space="preserve"> IF(H21&lt;=0,0,ROUND(H21, 2-INT(LOG(ABS(H21))))
)</f>
        <v>50</v>
      </c>
      <c r="W21" s="37" t="str">
        <f>IF(OR($H$10=$U$2,$H$10=$U$5),"○",
IF(H21&gt;0,"○","×"))</f>
        <v>○</v>
      </c>
      <c r="X21" s="35"/>
      <c r="Y21" s="37"/>
      <c r="Z21" s="35" t="s">
        <v>146</v>
      </c>
      <c r="AA21" s="35" t="s">
        <v>146</v>
      </c>
      <c r="AB21" s="35"/>
      <c r="AC21" s="35" t="s">
        <v>146</v>
      </c>
      <c r="AD21" s="35" t="s">
        <v>146</v>
      </c>
      <c r="AE21" s="35"/>
      <c r="AF21" s="35"/>
      <c r="AG21" s="35"/>
      <c r="AH21" s="35"/>
    </row>
    <row r="22" spans="1:63" ht="30.5" customHeight="1" thickTop="1" thickBot="1">
      <c r="A22" s="43"/>
      <c r="B22" s="101" t="s">
        <v>109</v>
      </c>
      <c r="C22" s="101"/>
      <c r="D22" s="101"/>
      <c r="E22" s="101"/>
      <c r="F22" s="101"/>
      <c r="G22" s="101"/>
      <c r="H22" s="102"/>
      <c r="I22" s="102"/>
      <c r="J22" s="103" t="s">
        <v>116</v>
      </c>
      <c r="K22" s="104"/>
      <c r="L22" s="104"/>
      <c r="M22" s="104"/>
      <c r="N22" s="104"/>
      <c r="O22" s="104"/>
      <c r="P22" s="104"/>
      <c r="Q22" s="39"/>
      <c r="U22" s="35"/>
      <c r="V22" s="35"/>
      <c r="W22" s="35"/>
      <c r="X22" s="35"/>
      <c r="Y22" s="35"/>
      <c r="Z22" s="35" t="s">
        <v>146</v>
      </c>
      <c r="AA22" s="35" t="s">
        <v>146</v>
      </c>
      <c r="AB22" s="35" t="s">
        <v>146</v>
      </c>
      <c r="AC22" s="35" t="s">
        <v>146</v>
      </c>
      <c r="AD22" s="35" t="s">
        <v>146</v>
      </c>
      <c r="AE22" s="35"/>
      <c r="AF22" s="35"/>
      <c r="AG22" s="35"/>
      <c r="AH22" s="35"/>
    </row>
    <row r="23" spans="1:63" ht="30.5" customHeight="1" thickTop="1" thickBot="1">
      <c r="A23" s="43"/>
      <c r="B23" s="117" t="s">
        <v>110</v>
      </c>
      <c r="C23" s="118"/>
      <c r="D23" s="118"/>
      <c r="E23" s="118"/>
      <c r="F23" s="119"/>
      <c r="G23" s="52" t="s">
        <v>0</v>
      </c>
      <c r="H23" s="120">
        <v>0.4</v>
      </c>
      <c r="I23" s="120"/>
      <c r="J23" s="113" t="str">
        <f>"※熱源水ポンプ1の定格消費電力"&amp;IF(OR($H$10=$U$2,$H$10=$U$5),"","、定格流量")&amp;"を入力する。有効桁数4桁で四捨五入して入力する。"</f>
        <v>※熱源水ポンプ1の定格消費電力、定格流量を入力する。有効桁数4桁で四捨五入して入力する。</v>
      </c>
      <c r="K23" s="114"/>
      <c r="L23" s="114"/>
      <c r="M23" s="114"/>
      <c r="N23" s="114"/>
      <c r="O23" s="114"/>
      <c r="P23" s="114"/>
      <c r="Q23" s="39"/>
      <c r="U23" s="35"/>
      <c r="V23" s="35">
        <f xml:space="preserve"> IF(H23&lt;=0,0,ROUND(H23, 2-INT(LOG(ABS(H23))))
)</f>
        <v>0.4</v>
      </c>
      <c r="W23" s="37" t="str">
        <f>IF($H$10=$U$2,"○",IF(H23&gt;0,"○","×"))</f>
        <v>○</v>
      </c>
      <c r="X23" s="35"/>
      <c r="Y23" s="35"/>
      <c r="Z23" s="35" t="s">
        <v>146</v>
      </c>
      <c r="AA23" s="35" t="s">
        <v>146</v>
      </c>
      <c r="AB23" s="35" t="s">
        <v>146</v>
      </c>
      <c r="AC23" s="35" t="s">
        <v>146</v>
      </c>
      <c r="AD23" s="35" t="s">
        <v>146</v>
      </c>
      <c r="AE23" s="35"/>
      <c r="AF23" s="35"/>
      <c r="AG23" s="35"/>
      <c r="AH23" s="35"/>
    </row>
    <row r="24" spans="1:63" ht="30.5" customHeight="1" thickTop="1" thickBot="1">
      <c r="A24" s="43"/>
      <c r="B24" s="121" t="s">
        <v>119</v>
      </c>
      <c r="C24" s="122"/>
      <c r="D24" s="122"/>
      <c r="E24" s="122"/>
      <c r="F24" s="123"/>
      <c r="G24" s="52" t="str">
        <f>$G$21</f>
        <v>[L/min]</v>
      </c>
      <c r="H24" s="120">
        <v>100</v>
      </c>
      <c r="I24" s="120"/>
      <c r="J24" s="113"/>
      <c r="K24" s="114"/>
      <c r="L24" s="114"/>
      <c r="M24" s="114"/>
      <c r="N24" s="114"/>
      <c r="O24" s="114"/>
      <c r="P24" s="114"/>
      <c r="Q24" s="39"/>
      <c r="U24" s="35"/>
      <c r="V24" s="35">
        <f xml:space="preserve"> IF(H24&lt;=0,0,ROUND(H24, 2-INT(LOG(ABS(H24))))
)</f>
        <v>100</v>
      </c>
      <c r="W24" s="37" t="str">
        <f>IF(OR($H$10=$U$2,$H$10=$U$5),"○",
IF(H24&gt;0,"○","×"))</f>
        <v>○</v>
      </c>
      <c r="X24" s="35"/>
      <c r="Y24" s="35"/>
      <c r="Z24" s="35" t="s">
        <v>146</v>
      </c>
      <c r="AA24" s="35" t="s">
        <v>146</v>
      </c>
      <c r="AB24" s="35"/>
      <c r="AC24" s="35" t="s">
        <v>146</v>
      </c>
      <c r="AD24" s="35" t="s">
        <v>146</v>
      </c>
      <c r="AE24" s="35"/>
      <c r="AF24" s="35"/>
      <c r="AG24" s="35"/>
      <c r="AH24" s="35"/>
    </row>
    <row r="25" spans="1:63" ht="30.5" customHeight="1" thickTop="1" thickBot="1">
      <c r="A25" s="43"/>
      <c r="B25" s="101" t="s">
        <v>111</v>
      </c>
      <c r="C25" s="101"/>
      <c r="D25" s="101"/>
      <c r="E25" s="101"/>
      <c r="F25" s="101"/>
      <c r="G25" s="101"/>
      <c r="H25" s="102"/>
      <c r="I25" s="102"/>
      <c r="J25" s="103" t="s">
        <v>117</v>
      </c>
      <c r="K25" s="104"/>
      <c r="L25" s="104"/>
      <c r="M25" s="104"/>
      <c r="N25" s="104"/>
      <c r="O25" s="104"/>
      <c r="P25" s="104"/>
      <c r="Q25" s="39"/>
      <c r="U25" s="35"/>
      <c r="V25" s="35"/>
      <c r="W25" s="37"/>
      <c r="X25" s="35"/>
      <c r="Y25" s="35"/>
      <c r="Z25" s="35"/>
      <c r="AA25" s="35"/>
      <c r="AB25" s="35"/>
      <c r="AC25" s="35" t="s">
        <v>146</v>
      </c>
      <c r="AD25" s="35" t="s">
        <v>146</v>
      </c>
      <c r="AE25" s="35"/>
      <c r="AF25" s="35"/>
      <c r="AG25" s="35"/>
      <c r="AH25" s="35"/>
    </row>
    <row r="26" spans="1:63" ht="30.5" customHeight="1" thickTop="1" thickBot="1">
      <c r="A26" s="43"/>
      <c r="B26" s="117" t="s">
        <v>112</v>
      </c>
      <c r="C26" s="118"/>
      <c r="D26" s="118"/>
      <c r="E26" s="118"/>
      <c r="F26" s="119"/>
      <c r="G26" s="52" t="s">
        <v>0</v>
      </c>
      <c r="H26" s="120">
        <v>0.4</v>
      </c>
      <c r="I26" s="120"/>
      <c r="J26" s="124" t="s">
        <v>74</v>
      </c>
      <c r="K26" s="114"/>
      <c r="L26" s="114"/>
      <c r="M26" s="114"/>
      <c r="N26" s="114"/>
      <c r="O26" s="114"/>
      <c r="P26" s="114"/>
      <c r="Q26" s="39"/>
      <c r="U26" s="35"/>
      <c r="V26" s="35">
        <f xml:space="preserve"> IF(H26&lt;=0,0,ROUND(H26, 2-INT(LOG(ABS(H26))))
)</f>
        <v>0.4</v>
      </c>
      <c r="W26" s="37" t="str">
        <f>IF(AND($H$10&lt;&gt;$U$6,$H$10&lt;&gt;$U$7),"○",IF(H26&gt;0,"○","×"))</f>
        <v>○</v>
      </c>
      <c r="X26" s="35"/>
      <c r="Y26" s="35"/>
      <c r="Z26" s="35"/>
      <c r="AA26" s="35"/>
      <c r="AB26" s="35"/>
      <c r="AC26" s="35" t="s">
        <v>146</v>
      </c>
      <c r="AD26" s="35" t="s">
        <v>146</v>
      </c>
      <c r="AE26" s="35"/>
      <c r="AF26" s="35"/>
      <c r="AG26" s="35"/>
      <c r="AH26" s="35"/>
    </row>
    <row r="27" spans="1:63" ht="7.5" customHeight="1" thickTop="1">
      <c r="A27" s="43"/>
      <c r="B27" s="54"/>
      <c r="C27" s="54"/>
      <c r="D27" s="54"/>
      <c r="E27" s="54"/>
      <c r="F27" s="54"/>
      <c r="G27" s="54"/>
      <c r="H27" s="44"/>
      <c r="I27" s="45"/>
      <c r="J27" s="54"/>
      <c r="K27" s="54"/>
      <c r="L27" s="54"/>
      <c r="M27" s="54"/>
      <c r="N27" s="54"/>
      <c r="O27" s="54"/>
      <c r="P27" s="54"/>
      <c r="Q27" s="39"/>
      <c r="U27" s="35"/>
      <c r="V27" s="35"/>
      <c r="W27" s="35"/>
      <c r="X27" s="35"/>
      <c r="Y27" s="35" t="s">
        <v>146</v>
      </c>
      <c r="Z27" s="35" t="s">
        <v>146</v>
      </c>
      <c r="AA27" s="35" t="s">
        <v>146</v>
      </c>
      <c r="AB27" s="35" t="s">
        <v>146</v>
      </c>
      <c r="AC27" s="35" t="s">
        <v>146</v>
      </c>
      <c r="AD27" s="35" t="s">
        <v>146</v>
      </c>
      <c r="AE27" s="35"/>
      <c r="AF27" s="35"/>
      <c r="AG27" s="35"/>
      <c r="AH27" s="35"/>
    </row>
    <row r="28" spans="1:63" ht="21.5" customHeight="1">
      <c r="A28" s="43"/>
      <c r="B28" s="55" t="s">
        <v>58</v>
      </c>
      <c r="C28" s="55"/>
      <c r="D28" s="55"/>
      <c r="E28" s="55"/>
      <c r="F28" s="55"/>
      <c r="G28" s="55"/>
      <c r="H28" s="55"/>
      <c r="I28" s="55"/>
      <c r="J28" s="55"/>
      <c r="K28" s="55"/>
      <c r="L28" s="55"/>
      <c r="M28" s="55"/>
      <c r="N28" s="55"/>
      <c r="O28" s="55"/>
      <c r="P28" s="56" t="s">
        <v>68</v>
      </c>
      <c r="Q28" s="39"/>
      <c r="U28" s="35"/>
      <c r="V28" s="35"/>
      <c r="W28" s="35"/>
      <c r="X28" s="35"/>
      <c r="Y28" s="35" t="s">
        <v>146</v>
      </c>
      <c r="Z28" s="35" t="s">
        <v>146</v>
      </c>
      <c r="AA28" s="35" t="s">
        <v>146</v>
      </c>
      <c r="AB28" s="35" t="s">
        <v>146</v>
      </c>
      <c r="AC28" s="35" t="s">
        <v>146</v>
      </c>
      <c r="AD28" s="35" t="s">
        <v>146</v>
      </c>
      <c r="AE28" s="35"/>
      <c r="AF28" s="35"/>
      <c r="AG28" s="35"/>
      <c r="AH28" s="35"/>
    </row>
    <row r="29" spans="1:63" ht="20.5" customHeight="1">
      <c r="A29" s="43"/>
      <c r="B29" s="115" t="s">
        <v>27</v>
      </c>
      <c r="C29" s="115"/>
      <c r="D29" s="115"/>
      <c r="E29" s="115"/>
      <c r="F29" s="115"/>
      <c r="G29" s="48" t="s">
        <v>59</v>
      </c>
      <c r="H29" s="116" t="s">
        <v>60</v>
      </c>
      <c r="I29" s="116"/>
      <c r="J29" s="115" t="s">
        <v>96</v>
      </c>
      <c r="K29" s="115"/>
      <c r="L29" s="115"/>
      <c r="M29" s="115"/>
      <c r="N29" s="115"/>
      <c r="O29" s="115"/>
      <c r="P29" s="115"/>
      <c r="Q29" s="39"/>
      <c r="U29" s="35"/>
      <c r="V29" s="35"/>
      <c r="W29" s="35"/>
      <c r="X29" s="35"/>
      <c r="Y29" s="35" t="s">
        <v>146</v>
      </c>
      <c r="Z29" s="35" t="s">
        <v>146</v>
      </c>
      <c r="AA29" s="35" t="s">
        <v>146</v>
      </c>
      <c r="AB29" s="35" t="s">
        <v>146</v>
      </c>
      <c r="AC29" s="35" t="s">
        <v>146</v>
      </c>
      <c r="AD29" s="35" t="s">
        <v>146</v>
      </c>
      <c r="AE29" s="35"/>
      <c r="AF29" s="35"/>
      <c r="AG29" s="35"/>
      <c r="AH29" s="35"/>
    </row>
    <row r="30" spans="1:63" ht="48.5" customHeight="1">
      <c r="A30" s="43"/>
      <c r="B30" s="111" t="s">
        <v>61</v>
      </c>
      <c r="C30" s="111"/>
      <c r="D30" s="111"/>
      <c r="E30" s="111"/>
      <c r="F30" s="111"/>
      <c r="G30" s="52" t="s">
        <v>0</v>
      </c>
      <c r="H30" s="112">
        <f xml:space="preserve"> IF(V30="","",ROUND(V30, 2-INT(LOG(ABS(V30))))
)</f>
        <v>2.2999999999999998</v>
      </c>
      <c r="I30" s="112"/>
      <c r="J30" s="113" t="str">
        <f>" W' = "&amp;IF(OR($H$10=$U$2,$H$10=$U$5),"","( V1 / V0 ) × ")&amp;"W0"
&amp;IF($H$10&lt;&gt;$U$2," + W1","")
&amp;IF(OR($H$10=$U$6,$H$10=$U$7)," + W2","")
&amp;IF(COUNTIF(W20:W26,"×")&gt;0,"",CHAR(10) &amp; "      = "&amp;IF(OR($H$10=$U$2,$H$10=$U$5),"","("&amp;$V$24&amp;" / "&amp;$V$21&amp;") × ")&amp;$V$20
&amp;IF($H$10&lt;&gt;$U$2," + "&amp;$V$23,"")
&amp;IF(OR($H$10=$U$6,$H$10=$U$7)," + "&amp;$V$26,"")&amp; IF($H$10&lt;&gt;$U$2," = "&amp;$H$30,"") &amp;" "&amp;$G$30)
&amp;CHAR(10)&amp;"※W'は有効桁数4桁で四捨五入し、有効桁数3桁までで表示する。"</f>
        <v xml:space="preserve"> W' = ( V1 / V0 ) × W0 + W1 + W2
      = (100 / 50) × 0.75 + 0.4 + 0.4 = 2.3 [kW]
※W'は有効桁数4桁で四捨五入し、有効桁数3桁までで表示する。</v>
      </c>
      <c r="K30" s="114"/>
      <c r="L30" s="114"/>
      <c r="M30" s="114"/>
      <c r="N30" s="114"/>
      <c r="O30" s="114"/>
      <c r="P30" s="114"/>
      <c r="Q30" s="39"/>
      <c r="S30" s="57"/>
      <c r="U30" s="35"/>
      <c r="V30" s="35">
        <f>IF(COUNTIF(W20:W26,"×")&gt;0,"",
$V$20*IF(OR($H$10=$U$2,$H$10=$U$5),1,$V$24/$V$21)
+IF($H$10&lt;&gt;$U$2,$V$23,0)
+IF(OR($H$10=$U$6,$H$10=$U$7),$V$26,0)
)</f>
        <v>2.2999999999999998</v>
      </c>
      <c r="W30" s="35"/>
      <c r="X30" s="35"/>
      <c r="Y30" s="35" t="s">
        <v>146</v>
      </c>
      <c r="Z30" s="35" t="s">
        <v>146</v>
      </c>
      <c r="AA30" s="35" t="s">
        <v>146</v>
      </c>
      <c r="AB30" s="35" t="s">
        <v>146</v>
      </c>
      <c r="AC30" s="35" t="s">
        <v>146</v>
      </c>
      <c r="AD30" s="35" t="s">
        <v>146</v>
      </c>
      <c r="AE30" s="35"/>
      <c r="AF30" s="35"/>
      <c r="AG30" s="35"/>
      <c r="AH30" s="35"/>
    </row>
    <row r="31" spans="1:63" ht="7.5" customHeight="1">
      <c r="B31" s="44"/>
      <c r="C31" s="44"/>
      <c r="D31" s="44"/>
      <c r="E31" s="44"/>
      <c r="F31" s="44"/>
      <c r="G31" s="44"/>
      <c r="H31" s="44"/>
      <c r="I31" s="45"/>
      <c r="J31" s="44"/>
      <c r="K31" s="44"/>
      <c r="L31" s="44"/>
      <c r="M31" s="44"/>
      <c r="N31" s="44"/>
      <c r="O31" s="44"/>
      <c r="P31" s="44"/>
      <c r="U31" s="35"/>
      <c r="V31" s="35"/>
      <c r="W31" s="35"/>
      <c r="X31" s="35"/>
      <c r="Y31" s="35" t="s">
        <v>146</v>
      </c>
      <c r="Z31" s="35" t="s">
        <v>146</v>
      </c>
      <c r="AA31" s="35" t="s">
        <v>146</v>
      </c>
      <c r="AB31" s="35" t="s">
        <v>146</v>
      </c>
      <c r="AC31" s="35" t="s">
        <v>146</v>
      </c>
      <c r="AD31" s="35" t="s">
        <v>146</v>
      </c>
      <c r="AE31" s="35"/>
      <c r="AF31" s="35"/>
      <c r="AG31" s="35"/>
      <c r="AH31" s="35"/>
    </row>
    <row r="32" spans="1:63" ht="46" customHeight="1">
      <c r="E32" s="33"/>
      <c r="I32" s="34"/>
      <c r="U32" s="35"/>
      <c r="V32" s="35"/>
      <c r="W32" s="35"/>
      <c r="X32" s="35"/>
      <c r="Y32" s="35" t="s">
        <v>146</v>
      </c>
      <c r="Z32" s="35" t="s">
        <v>146</v>
      </c>
      <c r="AA32" s="35" t="s">
        <v>146</v>
      </c>
      <c r="AB32" s="35" t="s">
        <v>146</v>
      </c>
      <c r="AC32" s="35" t="s">
        <v>146</v>
      </c>
      <c r="AD32" s="35" t="s">
        <v>146</v>
      </c>
      <c r="AE32" s="35"/>
      <c r="AF32" s="35"/>
      <c r="AG32" s="35"/>
      <c r="AH32" s="35"/>
    </row>
    <row r="33" spans="2:34" ht="25.5" customHeight="1">
      <c r="E33" s="33"/>
      <c r="I33" s="34"/>
      <c r="U33" s="35"/>
      <c r="V33" s="35"/>
      <c r="W33" s="35"/>
      <c r="X33" s="35"/>
      <c r="Y33" s="35" t="s">
        <v>146</v>
      </c>
      <c r="Z33" s="35" t="s">
        <v>146</v>
      </c>
      <c r="AA33" s="35" t="s">
        <v>146</v>
      </c>
      <c r="AB33" s="35" t="s">
        <v>146</v>
      </c>
      <c r="AC33" s="35" t="s">
        <v>146</v>
      </c>
      <c r="AD33" s="35" t="s">
        <v>146</v>
      </c>
      <c r="AE33" s="35"/>
      <c r="AF33" s="35"/>
      <c r="AG33" s="35"/>
      <c r="AH33" s="35"/>
    </row>
    <row r="34" spans="2:34" ht="25" customHeight="1">
      <c r="E34" s="33"/>
      <c r="I34" s="34"/>
      <c r="U34" s="35"/>
      <c r="V34" s="35"/>
      <c r="W34" s="35"/>
      <c r="X34" s="35"/>
      <c r="Y34" s="35" t="s">
        <v>146</v>
      </c>
      <c r="Z34" s="35" t="s">
        <v>146</v>
      </c>
      <c r="AA34" s="35" t="s">
        <v>146</v>
      </c>
      <c r="AB34" s="35" t="s">
        <v>146</v>
      </c>
      <c r="AC34" s="35" t="s">
        <v>146</v>
      </c>
      <c r="AD34" s="35" t="s">
        <v>146</v>
      </c>
      <c r="AE34" s="35"/>
      <c r="AF34" s="35"/>
      <c r="AG34" s="35"/>
      <c r="AH34" s="35"/>
    </row>
    <row r="35" spans="2:34" ht="21.5" customHeight="1">
      <c r="E35" s="33"/>
      <c r="I35" s="34"/>
      <c r="U35" s="35"/>
      <c r="V35" s="35"/>
      <c r="W35" s="35"/>
      <c r="X35" s="35"/>
      <c r="Y35" s="35" t="s">
        <v>146</v>
      </c>
      <c r="Z35" s="35" t="s">
        <v>146</v>
      </c>
      <c r="AA35" s="35" t="s">
        <v>146</v>
      </c>
      <c r="AB35" s="35" t="s">
        <v>146</v>
      </c>
      <c r="AC35" s="35" t="s">
        <v>146</v>
      </c>
      <c r="AD35" s="35" t="s">
        <v>146</v>
      </c>
      <c r="AE35" s="35"/>
      <c r="AF35" s="35"/>
      <c r="AG35" s="35"/>
      <c r="AH35" s="35"/>
    </row>
    <row r="36" spans="2:34" ht="15.65" customHeight="1">
      <c r="U36" s="35"/>
      <c r="V36" s="35"/>
      <c r="W36" s="35"/>
      <c r="X36" s="35"/>
      <c r="Y36" s="35"/>
      <c r="Z36" s="35"/>
      <c r="AA36" s="35"/>
      <c r="AB36" s="35"/>
      <c r="AC36" s="35"/>
      <c r="AD36" s="35"/>
      <c r="AE36" s="35"/>
      <c r="AF36" s="35"/>
      <c r="AG36" s="35"/>
      <c r="AH36" s="35"/>
    </row>
    <row r="37" spans="2:34" ht="15.65" customHeight="1">
      <c r="B37" s="58"/>
      <c r="U37" s="35"/>
      <c r="V37" s="35"/>
      <c r="W37" s="35"/>
      <c r="X37" s="35"/>
      <c r="Y37" s="35"/>
      <c r="Z37" s="35"/>
      <c r="AA37" s="35"/>
      <c r="AB37" s="35"/>
      <c r="AC37" s="35"/>
      <c r="AD37" s="35"/>
      <c r="AE37" s="35"/>
      <c r="AF37" s="35"/>
      <c r="AG37" s="35"/>
      <c r="AH37" s="35"/>
    </row>
    <row r="38" spans="2:34" ht="15.65" customHeight="1">
      <c r="E38" s="59"/>
      <c r="U38" s="35"/>
      <c r="V38" s="35"/>
      <c r="W38" s="35"/>
      <c r="X38" s="35"/>
      <c r="Y38" s="35"/>
      <c r="Z38" s="35"/>
      <c r="AA38" s="35"/>
      <c r="AB38" s="35"/>
      <c r="AC38" s="35"/>
      <c r="AD38" s="35"/>
      <c r="AE38" s="35"/>
      <c r="AF38" s="35"/>
      <c r="AG38" s="35"/>
      <c r="AH38" s="35"/>
    </row>
    <row r="39" spans="2:34" ht="15.65" customHeight="1">
      <c r="E39" s="60"/>
    </row>
    <row r="40" spans="2:34" ht="15.65" customHeight="1">
      <c r="E40" s="60"/>
    </row>
    <row r="42" spans="2:34" ht="15.65" customHeight="1">
      <c r="E42" s="59"/>
    </row>
    <row r="43" spans="2:34" ht="15.65" customHeight="1">
      <c r="E43" s="60"/>
    </row>
    <row r="44" spans="2:34" ht="15.65" customHeight="1">
      <c r="E44" s="60"/>
    </row>
    <row r="48" spans="2:34" ht="15.65" customHeight="1">
      <c r="B48" s="58"/>
    </row>
    <row r="50" spans="5:6" ht="15.65" customHeight="1">
      <c r="E50" s="33"/>
    </row>
    <row r="51" spans="5:6" ht="15.65" customHeight="1">
      <c r="E51" s="59"/>
    </row>
    <row r="52" spans="5:6" ht="15.65" customHeight="1">
      <c r="E52" s="60"/>
      <c r="F52" s="61"/>
    </row>
    <row r="53" spans="5:6" ht="15.65" customHeight="1">
      <c r="E53" s="60"/>
      <c r="F53" s="61"/>
    </row>
    <row r="54" spans="5:6" ht="15.65" customHeight="1">
      <c r="E54" s="59"/>
    </row>
    <row r="55" spans="5:6" ht="15.65" customHeight="1">
      <c r="E55" s="59"/>
    </row>
    <row r="56" spans="5:6" ht="15.65" customHeight="1">
      <c r="E56" s="60"/>
      <c r="F56" s="61"/>
    </row>
    <row r="57" spans="5:6" ht="15.65" customHeight="1">
      <c r="E57" s="60"/>
      <c r="F57" s="61"/>
    </row>
    <row r="59" spans="5:6" ht="15.65" customHeight="1">
      <c r="E59" s="62"/>
    </row>
  </sheetData>
  <sheetProtection algorithmName="SHA-512" hashValue="hG26apigKMBfSML7+LYLB2MyC5UjqTFKBCP5kaijt+R+x9GUD7eS23EaobVkKg8P7/f7RyKsDyV/Qxe3eDH0KA==" saltValue="moYKUuVGHwlmdb6SFEl6Og==" spinCount="100000" sheet="1" objects="1" scenarios="1"/>
  <mergeCells count="47">
    <mergeCell ref="B10:F10"/>
    <mergeCell ref="H10:I10"/>
    <mergeCell ref="J10:P10"/>
    <mergeCell ref="B2:J2"/>
    <mergeCell ref="L2:P2"/>
    <mergeCell ref="B3:J3"/>
    <mergeCell ref="L3:P3"/>
    <mergeCell ref="B5:G5"/>
    <mergeCell ref="H5:P5"/>
    <mergeCell ref="B6:G6"/>
    <mergeCell ref="H6:P6"/>
    <mergeCell ref="B9:F9"/>
    <mergeCell ref="H9:I9"/>
    <mergeCell ref="J9:P9"/>
    <mergeCell ref="AW11:BC18"/>
    <mergeCell ref="BD11:BJ18"/>
    <mergeCell ref="B19:I19"/>
    <mergeCell ref="J19:P19"/>
    <mergeCell ref="B20:F20"/>
    <mergeCell ref="H20:I20"/>
    <mergeCell ref="J20:P21"/>
    <mergeCell ref="B21:F21"/>
    <mergeCell ref="H21:I21"/>
    <mergeCell ref="B11:I18"/>
    <mergeCell ref="J11:P18"/>
    <mergeCell ref="U11:AA18"/>
    <mergeCell ref="AB11:AH18"/>
    <mergeCell ref="AI11:AO18"/>
    <mergeCell ref="AP11:AV18"/>
    <mergeCell ref="B22:I22"/>
    <mergeCell ref="J22:P22"/>
    <mergeCell ref="B23:F23"/>
    <mergeCell ref="H23:I23"/>
    <mergeCell ref="J23:P24"/>
    <mergeCell ref="B24:F24"/>
    <mergeCell ref="H24:I24"/>
    <mergeCell ref="B30:F30"/>
    <mergeCell ref="H30:I30"/>
    <mergeCell ref="J30:P30"/>
    <mergeCell ref="B25:I25"/>
    <mergeCell ref="J25:P25"/>
    <mergeCell ref="B26:F26"/>
    <mergeCell ref="H26:I26"/>
    <mergeCell ref="J26:P26"/>
    <mergeCell ref="B29:F29"/>
    <mergeCell ref="H29:I29"/>
    <mergeCell ref="J29:P29"/>
  </mergeCells>
  <phoneticPr fontId="1"/>
  <conditionalFormatting sqref="B19:P30">
    <cfRule type="expression" dxfId="36" priority="1">
      <formula>INDIRECT(ADDRESS(ROW(B19),COLUMN($Y$9)+MATCH($H$10,$Y$9:$AD$9,0)-1))=""</formula>
    </cfRule>
  </conditionalFormatting>
  <dataValidations count="2">
    <dataValidation type="list" allowBlank="1" showInputMessage="1" showErrorMessage="1" sqref="G21" xr:uid="{B5917790-F83D-4100-A7DF-6B7315B54770}">
      <formula1>AA$2:AA$4</formula1>
    </dataValidation>
    <dataValidation type="list" allowBlank="1" showInputMessage="1" showErrorMessage="1" sqref="H10" xr:uid="{8AE1F2FB-E6C1-4F27-A638-D727F800542F}">
      <formula1>$U$2:$U$7</formula1>
    </dataValidation>
  </dataValidations>
  <pageMargins left="0.59055118110236227" right="0.59055118110236227" top="0.59055118110236227" bottom="0.59055118110236227" header="0.31496062992125984" footer="0.31496062992125984"/>
  <pageSetup paperSize="9" scale="60" fitToWidth="0" orientation="portrait" r:id="rId1"/>
  <headerFooter>
    <oddFooter>&amp;C&amp;"ＭＳ Ｐ明朝,標準"オープンループ型地中熱ヒートポンプシステムの熱源水ポンプ群合計消費電力計算シート&amp;"Times New Roman,標準" &amp;"ＭＳ Ｐ明朝,標準"(&amp;"Times New Roman,標準"Ver.1.0&amp;"ＭＳ Ｐ明朝,標準")  &amp;"Times New Roman,標準"- &amp;P / 1 -</oddFooter>
  </headerFooter>
  <colBreaks count="1" manualBreakCount="1">
    <brk id="17"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F2FCEE-BEED-4B90-88FF-47A92266464C}">
  <dimension ref="A1:C99"/>
  <sheetViews>
    <sheetView tabSelected="1" view="pageBreakPreview" zoomScaleNormal="112" zoomScaleSheetLayoutView="100" workbookViewId="0">
      <selection activeCell="D25" sqref="D25"/>
    </sheetView>
  </sheetViews>
  <sheetFormatPr defaultColWidth="11.9140625" defaultRowHeight="16.5"/>
  <cols>
    <col min="1" max="1" width="1.33203125" style="5" customWidth="1"/>
    <col min="2" max="2" width="129.25" style="20" customWidth="1"/>
    <col min="3" max="3" width="1.33203125" style="5" customWidth="1"/>
    <col min="4" max="256" width="11.9140625" style="5"/>
    <col min="257" max="257" width="1.33203125" style="5" customWidth="1"/>
    <col min="258" max="258" width="129.25" style="5" customWidth="1"/>
    <col min="259" max="259" width="1.33203125" style="5" customWidth="1"/>
    <col min="260" max="512" width="11.9140625" style="5"/>
    <col min="513" max="513" width="1.33203125" style="5" customWidth="1"/>
    <col min="514" max="514" width="129.25" style="5" customWidth="1"/>
    <col min="515" max="515" width="1.33203125" style="5" customWidth="1"/>
    <col min="516" max="768" width="11.9140625" style="5"/>
    <col min="769" max="769" width="1.33203125" style="5" customWidth="1"/>
    <col min="770" max="770" width="129.25" style="5" customWidth="1"/>
    <col min="771" max="771" width="1.33203125" style="5" customWidth="1"/>
    <col min="772" max="1024" width="11.9140625" style="5"/>
    <col min="1025" max="1025" width="1.33203125" style="5" customWidth="1"/>
    <col min="1026" max="1026" width="129.25" style="5" customWidth="1"/>
    <col min="1027" max="1027" width="1.33203125" style="5" customWidth="1"/>
    <col min="1028" max="1280" width="11.9140625" style="5"/>
    <col min="1281" max="1281" width="1.33203125" style="5" customWidth="1"/>
    <col min="1282" max="1282" width="129.25" style="5" customWidth="1"/>
    <col min="1283" max="1283" width="1.33203125" style="5" customWidth="1"/>
    <col min="1284" max="1536" width="11.9140625" style="5"/>
    <col min="1537" max="1537" width="1.33203125" style="5" customWidth="1"/>
    <col min="1538" max="1538" width="129.25" style="5" customWidth="1"/>
    <col min="1539" max="1539" width="1.33203125" style="5" customWidth="1"/>
    <col min="1540" max="1792" width="11.9140625" style="5"/>
    <col min="1793" max="1793" width="1.33203125" style="5" customWidth="1"/>
    <col min="1794" max="1794" width="129.25" style="5" customWidth="1"/>
    <col min="1795" max="1795" width="1.33203125" style="5" customWidth="1"/>
    <col min="1796" max="2048" width="11.9140625" style="5"/>
    <col min="2049" max="2049" width="1.33203125" style="5" customWidth="1"/>
    <col min="2050" max="2050" width="129.25" style="5" customWidth="1"/>
    <col min="2051" max="2051" width="1.33203125" style="5" customWidth="1"/>
    <col min="2052" max="2304" width="11.9140625" style="5"/>
    <col min="2305" max="2305" width="1.33203125" style="5" customWidth="1"/>
    <col min="2306" max="2306" width="129.25" style="5" customWidth="1"/>
    <col min="2307" max="2307" width="1.33203125" style="5" customWidth="1"/>
    <col min="2308" max="2560" width="11.9140625" style="5"/>
    <col min="2561" max="2561" width="1.33203125" style="5" customWidth="1"/>
    <col min="2562" max="2562" width="129.25" style="5" customWidth="1"/>
    <col min="2563" max="2563" width="1.33203125" style="5" customWidth="1"/>
    <col min="2564" max="2816" width="11.9140625" style="5"/>
    <col min="2817" max="2817" width="1.33203125" style="5" customWidth="1"/>
    <col min="2818" max="2818" width="129.25" style="5" customWidth="1"/>
    <col min="2819" max="2819" width="1.33203125" style="5" customWidth="1"/>
    <col min="2820" max="3072" width="11.9140625" style="5"/>
    <col min="3073" max="3073" width="1.33203125" style="5" customWidth="1"/>
    <col min="3074" max="3074" width="129.25" style="5" customWidth="1"/>
    <col min="3075" max="3075" width="1.33203125" style="5" customWidth="1"/>
    <col min="3076" max="3328" width="11.9140625" style="5"/>
    <col min="3329" max="3329" width="1.33203125" style="5" customWidth="1"/>
    <col min="3330" max="3330" width="129.25" style="5" customWidth="1"/>
    <col min="3331" max="3331" width="1.33203125" style="5" customWidth="1"/>
    <col min="3332" max="3584" width="11.9140625" style="5"/>
    <col min="3585" max="3585" width="1.33203125" style="5" customWidth="1"/>
    <col min="3586" max="3586" width="129.25" style="5" customWidth="1"/>
    <col min="3587" max="3587" width="1.33203125" style="5" customWidth="1"/>
    <col min="3588" max="3840" width="11.9140625" style="5"/>
    <col min="3841" max="3841" width="1.33203125" style="5" customWidth="1"/>
    <col min="3842" max="3842" width="129.25" style="5" customWidth="1"/>
    <col min="3843" max="3843" width="1.33203125" style="5" customWidth="1"/>
    <col min="3844" max="4096" width="11.9140625" style="5"/>
    <col min="4097" max="4097" width="1.33203125" style="5" customWidth="1"/>
    <col min="4098" max="4098" width="129.25" style="5" customWidth="1"/>
    <col min="4099" max="4099" width="1.33203125" style="5" customWidth="1"/>
    <col min="4100" max="4352" width="11.9140625" style="5"/>
    <col min="4353" max="4353" width="1.33203125" style="5" customWidth="1"/>
    <col min="4354" max="4354" width="129.25" style="5" customWidth="1"/>
    <col min="4355" max="4355" width="1.33203125" style="5" customWidth="1"/>
    <col min="4356" max="4608" width="11.9140625" style="5"/>
    <col min="4609" max="4609" width="1.33203125" style="5" customWidth="1"/>
    <col min="4610" max="4610" width="129.25" style="5" customWidth="1"/>
    <col min="4611" max="4611" width="1.33203125" style="5" customWidth="1"/>
    <col min="4612" max="4864" width="11.9140625" style="5"/>
    <col min="4865" max="4865" width="1.33203125" style="5" customWidth="1"/>
    <col min="4866" max="4866" width="129.25" style="5" customWidth="1"/>
    <col min="4867" max="4867" width="1.33203125" style="5" customWidth="1"/>
    <col min="4868" max="5120" width="11.9140625" style="5"/>
    <col min="5121" max="5121" width="1.33203125" style="5" customWidth="1"/>
    <col min="5122" max="5122" width="129.25" style="5" customWidth="1"/>
    <col min="5123" max="5123" width="1.33203125" style="5" customWidth="1"/>
    <col min="5124" max="5376" width="11.9140625" style="5"/>
    <col min="5377" max="5377" width="1.33203125" style="5" customWidth="1"/>
    <col min="5378" max="5378" width="129.25" style="5" customWidth="1"/>
    <col min="5379" max="5379" width="1.33203125" style="5" customWidth="1"/>
    <col min="5380" max="5632" width="11.9140625" style="5"/>
    <col min="5633" max="5633" width="1.33203125" style="5" customWidth="1"/>
    <col min="5634" max="5634" width="129.25" style="5" customWidth="1"/>
    <col min="5635" max="5635" width="1.33203125" style="5" customWidth="1"/>
    <col min="5636" max="5888" width="11.9140625" style="5"/>
    <col min="5889" max="5889" width="1.33203125" style="5" customWidth="1"/>
    <col min="5890" max="5890" width="129.25" style="5" customWidth="1"/>
    <col min="5891" max="5891" width="1.33203125" style="5" customWidth="1"/>
    <col min="5892" max="6144" width="11.9140625" style="5"/>
    <col min="6145" max="6145" width="1.33203125" style="5" customWidth="1"/>
    <col min="6146" max="6146" width="129.25" style="5" customWidth="1"/>
    <col min="6147" max="6147" width="1.33203125" style="5" customWidth="1"/>
    <col min="6148" max="6400" width="11.9140625" style="5"/>
    <col min="6401" max="6401" width="1.33203125" style="5" customWidth="1"/>
    <col min="6402" max="6402" width="129.25" style="5" customWidth="1"/>
    <col min="6403" max="6403" width="1.33203125" style="5" customWidth="1"/>
    <col min="6404" max="6656" width="11.9140625" style="5"/>
    <col min="6657" max="6657" width="1.33203125" style="5" customWidth="1"/>
    <col min="6658" max="6658" width="129.25" style="5" customWidth="1"/>
    <col min="6659" max="6659" width="1.33203125" style="5" customWidth="1"/>
    <col min="6660" max="6912" width="11.9140625" style="5"/>
    <col min="6913" max="6913" width="1.33203125" style="5" customWidth="1"/>
    <col min="6914" max="6914" width="129.25" style="5" customWidth="1"/>
    <col min="6915" max="6915" width="1.33203125" style="5" customWidth="1"/>
    <col min="6916" max="7168" width="11.9140625" style="5"/>
    <col min="7169" max="7169" width="1.33203125" style="5" customWidth="1"/>
    <col min="7170" max="7170" width="129.25" style="5" customWidth="1"/>
    <col min="7171" max="7171" width="1.33203125" style="5" customWidth="1"/>
    <col min="7172" max="7424" width="11.9140625" style="5"/>
    <col min="7425" max="7425" width="1.33203125" style="5" customWidth="1"/>
    <col min="7426" max="7426" width="129.25" style="5" customWidth="1"/>
    <col min="7427" max="7427" width="1.33203125" style="5" customWidth="1"/>
    <col min="7428" max="7680" width="11.9140625" style="5"/>
    <col min="7681" max="7681" width="1.33203125" style="5" customWidth="1"/>
    <col min="7682" max="7682" width="129.25" style="5" customWidth="1"/>
    <col min="7683" max="7683" width="1.33203125" style="5" customWidth="1"/>
    <col min="7684" max="7936" width="11.9140625" style="5"/>
    <col min="7937" max="7937" width="1.33203125" style="5" customWidth="1"/>
    <col min="7938" max="7938" width="129.25" style="5" customWidth="1"/>
    <col min="7939" max="7939" width="1.33203125" style="5" customWidth="1"/>
    <col min="7940" max="8192" width="11.9140625" style="5"/>
    <col min="8193" max="8193" width="1.33203125" style="5" customWidth="1"/>
    <col min="8194" max="8194" width="129.25" style="5" customWidth="1"/>
    <col min="8195" max="8195" width="1.33203125" style="5" customWidth="1"/>
    <col min="8196" max="8448" width="11.9140625" style="5"/>
    <col min="8449" max="8449" width="1.33203125" style="5" customWidth="1"/>
    <col min="8450" max="8450" width="129.25" style="5" customWidth="1"/>
    <col min="8451" max="8451" width="1.33203125" style="5" customWidth="1"/>
    <col min="8452" max="8704" width="11.9140625" style="5"/>
    <col min="8705" max="8705" width="1.33203125" style="5" customWidth="1"/>
    <col min="8706" max="8706" width="129.25" style="5" customWidth="1"/>
    <col min="8707" max="8707" width="1.33203125" style="5" customWidth="1"/>
    <col min="8708" max="8960" width="11.9140625" style="5"/>
    <col min="8961" max="8961" width="1.33203125" style="5" customWidth="1"/>
    <col min="8962" max="8962" width="129.25" style="5" customWidth="1"/>
    <col min="8963" max="8963" width="1.33203125" style="5" customWidth="1"/>
    <col min="8964" max="9216" width="11.9140625" style="5"/>
    <col min="9217" max="9217" width="1.33203125" style="5" customWidth="1"/>
    <col min="9218" max="9218" width="129.25" style="5" customWidth="1"/>
    <col min="9219" max="9219" width="1.33203125" style="5" customWidth="1"/>
    <col min="9220" max="9472" width="11.9140625" style="5"/>
    <col min="9473" max="9473" width="1.33203125" style="5" customWidth="1"/>
    <col min="9474" max="9474" width="129.25" style="5" customWidth="1"/>
    <col min="9475" max="9475" width="1.33203125" style="5" customWidth="1"/>
    <col min="9476" max="9728" width="11.9140625" style="5"/>
    <col min="9729" max="9729" width="1.33203125" style="5" customWidth="1"/>
    <col min="9730" max="9730" width="129.25" style="5" customWidth="1"/>
    <col min="9731" max="9731" width="1.33203125" style="5" customWidth="1"/>
    <col min="9732" max="9984" width="11.9140625" style="5"/>
    <col min="9985" max="9985" width="1.33203125" style="5" customWidth="1"/>
    <col min="9986" max="9986" width="129.25" style="5" customWidth="1"/>
    <col min="9987" max="9987" width="1.33203125" style="5" customWidth="1"/>
    <col min="9988" max="10240" width="11.9140625" style="5"/>
    <col min="10241" max="10241" width="1.33203125" style="5" customWidth="1"/>
    <col min="10242" max="10242" width="129.25" style="5" customWidth="1"/>
    <col min="10243" max="10243" width="1.33203125" style="5" customWidth="1"/>
    <col min="10244" max="10496" width="11.9140625" style="5"/>
    <col min="10497" max="10497" width="1.33203125" style="5" customWidth="1"/>
    <col min="10498" max="10498" width="129.25" style="5" customWidth="1"/>
    <col min="10499" max="10499" width="1.33203125" style="5" customWidth="1"/>
    <col min="10500" max="10752" width="11.9140625" style="5"/>
    <col min="10753" max="10753" width="1.33203125" style="5" customWidth="1"/>
    <col min="10754" max="10754" width="129.25" style="5" customWidth="1"/>
    <col min="10755" max="10755" width="1.33203125" style="5" customWidth="1"/>
    <col min="10756" max="11008" width="11.9140625" style="5"/>
    <col min="11009" max="11009" width="1.33203125" style="5" customWidth="1"/>
    <col min="11010" max="11010" width="129.25" style="5" customWidth="1"/>
    <col min="11011" max="11011" width="1.33203125" style="5" customWidth="1"/>
    <col min="11012" max="11264" width="11.9140625" style="5"/>
    <col min="11265" max="11265" width="1.33203125" style="5" customWidth="1"/>
    <col min="11266" max="11266" width="129.25" style="5" customWidth="1"/>
    <col min="11267" max="11267" width="1.33203125" style="5" customWidth="1"/>
    <col min="11268" max="11520" width="11.9140625" style="5"/>
    <col min="11521" max="11521" width="1.33203125" style="5" customWidth="1"/>
    <col min="11522" max="11522" width="129.25" style="5" customWidth="1"/>
    <col min="11523" max="11523" width="1.33203125" style="5" customWidth="1"/>
    <col min="11524" max="11776" width="11.9140625" style="5"/>
    <col min="11777" max="11777" width="1.33203125" style="5" customWidth="1"/>
    <col min="11778" max="11778" width="129.25" style="5" customWidth="1"/>
    <col min="11779" max="11779" width="1.33203125" style="5" customWidth="1"/>
    <col min="11780" max="12032" width="11.9140625" style="5"/>
    <col min="12033" max="12033" width="1.33203125" style="5" customWidth="1"/>
    <col min="12034" max="12034" width="129.25" style="5" customWidth="1"/>
    <col min="12035" max="12035" width="1.33203125" style="5" customWidth="1"/>
    <col min="12036" max="12288" width="11.9140625" style="5"/>
    <col min="12289" max="12289" width="1.33203125" style="5" customWidth="1"/>
    <col min="12290" max="12290" width="129.25" style="5" customWidth="1"/>
    <col min="12291" max="12291" width="1.33203125" style="5" customWidth="1"/>
    <col min="12292" max="12544" width="11.9140625" style="5"/>
    <col min="12545" max="12545" width="1.33203125" style="5" customWidth="1"/>
    <col min="12546" max="12546" width="129.25" style="5" customWidth="1"/>
    <col min="12547" max="12547" width="1.33203125" style="5" customWidth="1"/>
    <col min="12548" max="12800" width="11.9140625" style="5"/>
    <col min="12801" max="12801" width="1.33203125" style="5" customWidth="1"/>
    <col min="12802" max="12802" width="129.25" style="5" customWidth="1"/>
    <col min="12803" max="12803" width="1.33203125" style="5" customWidth="1"/>
    <col min="12804" max="13056" width="11.9140625" style="5"/>
    <col min="13057" max="13057" width="1.33203125" style="5" customWidth="1"/>
    <col min="13058" max="13058" width="129.25" style="5" customWidth="1"/>
    <col min="13059" max="13059" width="1.33203125" style="5" customWidth="1"/>
    <col min="13060" max="13312" width="11.9140625" style="5"/>
    <col min="13313" max="13313" width="1.33203125" style="5" customWidth="1"/>
    <col min="13314" max="13314" width="129.25" style="5" customWidth="1"/>
    <col min="13315" max="13315" width="1.33203125" style="5" customWidth="1"/>
    <col min="13316" max="13568" width="11.9140625" style="5"/>
    <col min="13569" max="13569" width="1.33203125" style="5" customWidth="1"/>
    <col min="13570" max="13570" width="129.25" style="5" customWidth="1"/>
    <col min="13571" max="13571" width="1.33203125" style="5" customWidth="1"/>
    <col min="13572" max="13824" width="11.9140625" style="5"/>
    <col min="13825" max="13825" width="1.33203125" style="5" customWidth="1"/>
    <col min="13826" max="13826" width="129.25" style="5" customWidth="1"/>
    <col min="13827" max="13827" width="1.33203125" style="5" customWidth="1"/>
    <col min="13828" max="14080" width="11.9140625" style="5"/>
    <col min="14081" max="14081" width="1.33203125" style="5" customWidth="1"/>
    <col min="14082" max="14082" width="129.25" style="5" customWidth="1"/>
    <col min="14083" max="14083" width="1.33203125" style="5" customWidth="1"/>
    <col min="14084" max="14336" width="11.9140625" style="5"/>
    <col min="14337" max="14337" width="1.33203125" style="5" customWidth="1"/>
    <col min="14338" max="14338" width="129.25" style="5" customWidth="1"/>
    <col min="14339" max="14339" width="1.33203125" style="5" customWidth="1"/>
    <col min="14340" max="14592" width="11.9140625" style="5"/>
    <col min="14593" max="14593" width="1.33203125" style="5" customWidth="1"/>
    <col min="14594" max="14594" width="129.25" style="5" customWidth="1"/>
    <col min="14595" max="14595" width="1.33203125" style="5" customWidth="1"/>
    <col min="14596" max="14848" width="11.9140625" style="5"/>
    <col min="14849" max="14849" width="1.33203125" style="5" customWidth="1"/>
    <col min="14850" max="14850" width="129.25" style="5" customWidth="1"/>
    <col min="14851" max="14851" width="1.33203125" style="5" customWidth="1"/>
    <col min="14852" max="15104" width="11.9140625" style="5"/>
    <col min="15105" max="15105" width="1.33203125" style="5" customWidth="1"/>
    <col min="15106" max="15106" width="129.25" style="5" customWidth="1"/>
    <col min="15107" max="15107" width="1.33203125" style="5" customWidth="1"/>
    <col min="15108" max="15360" width="11.9140625" style="5"/>
    <col min="15361" max="15361" width="1.33203125" style="5" customWidth="1"/>
    <col min="15362" max="15362" width="129.25" style="5" customWidth="1"/>
    <col min="15363" max="15363" width="1.33203125" style="5" customWidth="1"/>
    <col min="15364" max="15616" width="11.9140625" style="5"/>
    <col min="15617" max="15617" width="1.33203125" style="5" customWidth="1"/>
    <col min="15618" max="15618" width="129.25" style="5" customWidth="1"/>
    <col min="15619" max="15619" width="1.33203125" style="5" customWidth="1"/>
    <col min="15620" max="15872" width="11.9140625" style="5"/>
    <col min="15873" max="15873" width="1.33203125" style="5" customWidth="1"/>
    <col min="15874" max="15874" width="129.25" style="5" customWidth="1"/>
    <col min="15875" max="15875" width="1.33203125" style="5" customWidth="1"/>
    <col min="15876" max="16128" width="11.9140625" style="5"/>
    <col min="16129" max="16129" width="1.33203125" style="5" customWidth="1"/>
    <col min="16130" max="16130" width="129.25" style="5" customWidth="1"/>
    <col min="16131" max="16131" width="1.33203125" style="5" customWidth="1"/>
    <col min="16132" max="16384" width="11.9140625" style="5"/>
  </cols>
  <sheetData>
    <row r="1" spans="1:3" ht="36" customHeight="1">
      <c r="A1" s="3"/>
      <c r="B1" s="21" t="s">
        <v>157</v>
      </c>
      <c r="C1" s="4"/>
    </row>
    <row r="2" spans="1:3">
      <c r="A2" s="6"/>
      <c r="B2" s="7"/>
      <c r="C2" s="8"/>
    </row>
    <row r="3" spans="1:3" ht="24" customHeight="1">
      <c r="A3" s="6"/>
      <c r="B3" s="9" t="s">
        <v>156</v>
      </c>
      <c r="C3" s="8"/>
    </row>
    <row r="4" spans="1:3" ht="6" customHeight="1">
      <c r="A4" s="6"/>
      <c r="B4" s="7"/>
      <c r="C4" s="8"/>
    </row>
    <row r="5" spans="1:3" ht="82.5">
      <c r="A5" s="6"/>
      <c r="B5" s="7" t="s">
        <v>173</v>
      </c>
      <c r="C5" s="8"/>
    </row>
    <row r="6" spans="1:3">
      <c r="A6" s="6"/>
      <c r="B6" s="7"/>
      <c r="C6" s="8"/>
    </row>
    <row r="7" spans="1:3" ht="24" customHeight="1">
      <c r="A7" s="6"/>
      <c r="B7" s="9" t="s">
        <v>149</v>
      </c>
      <c r="C7" s="8"/>
    </row>
    <row r="8" spans="1:3" ht="6" customHeight="1">
      <c r="A8" s="6"/>
      <c r="B8" s="7"/>
      <c r="C8" s="8"/>
    </row>
    <row r="9" spans="1:3" ht="51" customHeight="1">
      <c r="A9" s="6"/>
      <c r="B9" s="7" t="s">
        <v>158</v>
      </c>
      <c r="C9" s="8"/>
    </row>
    <row r="10" spans="1:3" ht="100.5" customHeight="1">
      <c r="A10" s="6"/>
      <c r="B10" s="7" t="s">
        <v>150</v>
      </c>
      <c r="C10" s="8"/>
    </row>
    <row r="11" spans="1:3" ht="35" customHeight="1">
      <c r="A11" s="6"/>
      <c r="B11" s="7" t="s">
        <v>151</v>
      </c>
      <c r="C11" s="8"/>
    </row>
    <row r="12" spans="1:3" ht="34.5" customHeight="1">
      <c r="A12" s="6"/>
      <c r="B12" s="7" t="s">
        <v>152</v>
      </c>
      <c r="C12" s="8"/>
    </row>
    <row r="13" spans="1:3" ht="34.5" customHeight="1">
      <c r="A13" s="6"/>
      <c r="B13" s="7" t="s">
        <v>176</v>
      </c>
      <c r="C13" s="8"/>
    </row>
    <row r="14" spans="1:3">
      <c r="A14" s="6"/>
      <c r="B14" s="7"/>
      <c r="C14" s="8"/>
    </row>
    <row r="15" spans="1:3" ht="24" customHeight="1">
      <c r="A15" s="6"/>
      <c r="B15" s="9" t="s">
        <v>153</v>
      </c>
      <c r="C15" s="8"/>
    </row>
    <row r="16" spans="1:3" ht="58.75" customHeight="1">
      <c r="A16" s="6"/>
      <c r="B16" s="7" t="s">
        <v>159</v>
      </c>
      <c r="C16" s="8"/>
    </row>
    <row r="17" spans="1:3">
      <c r="A17" s="6"/>
      <c r="B17" s="7"/>
      <c r="C17" s="8"/>
    </row>
    <row r="18" spans="1:3" ht="24" customHeight="1">
      <c r="A18" s="6"/>
      <c r="B18" s="9" t="s">
        <v>212</v>
      </c>
      <c r="C18" s="8"/>
    </row>
    <row r="19" spans="1:3" ht="66">
      <c r="A19" s="6"/>
      <c r="B19" s="7" t="s">
        <v>164</v>
      </c>
      <c r="C19" s="8"/>
    </row>
    <row r="20" spans="1:3" ht="26.15" customHeight="1">
      <c r="A20" s="6"/>
      <c r="B20" s="7" t="s">
        <v>215</v>
      </c>
      <c r="C20" s="8"/>
    </row>
    <row r="21" spans="1:3" ht="9" customHeight="1">
      <c r="A21" s="6"/>
      <c r="B21" s="7"/>
      <c r="C21" s="8"/>
    </row>
    <row r="22" spans="1:3">
      <c r="A22" s="6"/>
      <c r="B22" s="7" t="s">
        <v>160</v>
      </c>
      <c r="C22" s="8"/>
    </row>
    <row r="23" spans="1:3">
      <c r="A23" s="6"/>
      <c r="B23" s="7" t="s">
        <v>154</v>
      </c>
      <c r="C23" s="8"/>
    </row>
    <row r="24" spans="1:3">
      <c r="A24" s="6"/>
      <c r="B24" s="7" t="s">
        <v>155</v>
      </c>
      <c r="C24" s="8"/>
    </row>
    <row r="25" spans="1:3">
      <c r="A25" s="6"/>
      <c r="B25" s="7" t="s">
        <v>161</v>
      </c>
      <c r="C25" s="8"/>
    </row>
    <row r="26" spans="1:3" ht="33">
      <c r="A26" s="6"/>
      <c r="B26" s="7" t="s">
        <v>162</v>
      </c>
      <c r="C26" s="8"/>
    </row>
    <row r="27" spans="1:3" ht="20.5">
      <c r="A27" s="6"/>
      <c r="B27" s="7" t="s">
        <v>163</v>
      </c>
      <c r="C27" s="8"/>
    </row>
    <row r="28" spans="1:3" ht="38">
      <c r="A28" s="6"/>
      <c r="B28" s="7" t="s">
        <v>165</v>
      </c>
      <c r="C28" s="8"/>
    </row>
    <row r="29" spans="1:3" ht="20.5">
      <c r="A29" s="6"/>
      <c r="B29" s="7" t="s">
        <v>166</v>
      </c>
      <c r="C29" s="8"/>
    </row>
    <row r="30" spans="1:3" ht="20.5">
      <c r="A30" s="6"/>
      <c r="B30" s="7" t="s">
        <v>167</v>
      </c>
      <c r="C30" s="8"/>
    </row>
    <row r="31" spans="1:3" ht="20.5">
      <c r="A31" s="6"/>
      <c r="B31" s="7" t="s">
        <v>168</v>
      </c>
      <c r="C31" s="8"/>
    </row>
    <row r="32" spans="1:3" ht="20.5">
      <c r="A32" s="6"/>
      <c r="B32" s="7" t="s">
        <v>169</v>
      </c>
      <c r="C32" s="8"/>
    </row>
    <row r="33" spans="1:3" ht="17" thickBot="1">
      <c r="A33" s="24"/>
      <c r="B33" s="25"/>
      <c r="C33" s="26"/>
    </row>
    <row r="34" spans="1:3">
      <c r="A34" s="22"/>
      <c r="B34" s="10"/>
      <c r="C34" s="23"/>
    </row>
    <row r="35" spans="1:3">
      <c r="A35" s="12"/>
      <c r="B35" s="11"/>
      <c r="C35" s="13"/>
    </row>
    <row r="36" spans="1:3">
      <c r="A36" s="12"/>
      <c r="B36" s="11"/>
      <c r="C36" s="13"/>
    </row>
    <row r="37" spans="1:3">
      <c r="A37" s="12"/>
      <c r="B37" s="11"/>
      <c r="C37" s="13"/>
    </row>
    <row r="38" spans="1:3">
      <c r="A38" s="12"/>
      <c r="B38" s="11"/>
      <c r="C38" s="13"/>
    </row>
    <row r="39" spans="1:3">
      <c r="A39" s="12"/>
      <c r="B39" s="11"/>
      <c r="C39" s="13"/>
    </row>
    <row r="40" spans="1:3">
      <c r="A40" s="12"/>
      <c r="B40" s="11"/>
      <c r="C40" s="13"/>
    </row>
    <row r="41" spans="1:3">
      <c r="A41" s="12"/>
      <c r="B41" s="11"/>
      <c r="C41" s="13"/>
    </row>
    <row r="42" spans="1:3">
      <c r="A42" s="12"/>
      <c r="B42" s="11"/>
      <c r="C42" s="13"/>
    </row>
    <row r="43" spans="1:3">
      <c r="A43" s="12"/>
      <c r="B43" s="11"/>
      <c r="C43" s="13"/>
    </row>
    <row r="44" spans="1:3">
      <c r="A44" s="12"/>
      <c r="B44" s="11"/>
      <c r="C44" s="13"/>
    </row>
    <row r="45" spans="1:3">
      <c r="A45" s="12"/>
      <c r="B45" s="11"/>
      <c r="C45" s="13"/>
    </row>
    <row r="46" spans="1:3">
      <c r="A46" s="12"/>
      <c r="B46" s="11"/>
      <c r="C46" s="13"/>
    </row>
    <row r="47" spans="1:3">
      <c r="A47" s="12"/>
      <c r="B47" s="11"/>
      <c r="C47" s="13"/>
    </row>
    <row r="48" spans="1:3">
      <c r="A48" s="12"/>
      <c r="B48" s="11"/>
      <c r="C48" s="13"/>
    </row>
    <row r="49" spans="1:3">
      <c r="A49" s="12"/>
      <c r="B49" s="11"/>
      <c r="C49" s="13"/>
    </row>
    <row r="50" spans="1:3">
      <c r="A50" s="12"/>
      <c r="B50" s="11"/>
      <c r="C50" s="13"/>
    </row>
    <row r="51" spans="1:3">
      <c r="A51" s="12"/>
      <c r="B51" s="11"/>
      <c r="C51" s="13"/>
    </row>
    <row r="52" spans="1:3">
      <c r="A52" s="12"/>
      <c r="B52" s="11"/>
      <c r="C52" s="13"/>
    </row>
    <row r="53" spans="1:3">
      <c r="A53" s="12"/>
      <c r="B53" s="11"/>
      <c r="C53" s="13"/>
    </row>
    <row r="54" spans="1:3">
      <c r="A54" s="12"/>
      <c r="B54" s="11"/>
      <c r="C54" s="13"/>
    </row>
    <row r="55" spans="1:3">
      <c r="A55" s="12"/>
      <c r="B55" s="11"/>
      <c r="C55" s="13"/>
    </row>
    <row r="56" spans="1:3">
      <c r="A56" s="12"/>
      <c r="B56" s="11"/>
      <c r="C56" s="13"/>
    </row>
    <row r="57" spans="1:3">
      <c r="A57" s="12"/>
      <c r="B57" s="11"/>
      <c r="C57" s="13"/>
    </row>
    <row r="58" spans="1:3">
      <c r="A58" s="12"/>
      <c r="B58" s="11"/>
      <c r="C58" s="13"/>
    </row>
    <row r="59" spans="1:3">
      <c r="A59" s="12"/>
      <c r="B59" s="11"/>
      <c r="C59" s="13"/>
    </row>
    <row r="60" spans="1:3">
      <c r="A60" s="12"/>
      <c r="B60" s="11"/>
      <c r="C60" s="13"/>
    </row>
    <row r="61" spans="1:3">
      <c r="A61" s="12"/>
      <c r="B61" s="11"/>
      <c r="C61" s="13"/>
    </row>
    <row r="62" spans="1:3">
      <c r="A62" s="12"/>
      <c r="B62" s="11"/>
      <c r="C62" s="13"/>
    </row>
    <row r="63" spans="1:3">
      <c r="A63" s="12"/>
      <c r="B63" s="11"/>
      <c r="C63" s="13"/>
    </row>
    <row r="64" spans="1:3">
      <c r="A64" s="12"/>
      <c r="B64" s="11"/>
      <c r="C64" s="13"/>
    </row>
    <row r="65" spans="1:3">
      <c r="A65" s="12"/>
      <c r="B65" s="11"/>
      <c r="C65" s="13"/>
    </row>
    <row r="66" spans="1:3">
      <c r="A66" s="12"/>
      <c r="B66" s="11"/>
      <c r="C66" s="13"/>
    </row>
    <row r="67" spans="1:3">
      <c r="A67" s="12"/>
      <c r="B67" s="11"/>
      <c r="C67" s="13"/>
    </row>
    <row r="68" spans="1:3">
      <c r="A68" s="12"/>
      <c r="B68" s="11"/>
      <c r="C68" s="13"/>
    </row>
    <row r="69" spans="1:3">
      <c r="A69" s="12"/>
      <c r="B69" s="11"/>
      <c r="C69" s="13"/>
    </row>
    <row r="70" spans="1:3">
      <c r="A70" s="12"/>
      <c r="B70" s="11"/>
      <c r="C70" s="13"/>
    </row>
    <row r="71" spans="1:3">
      <c r="A71" s="12"/>
      <c r="B71" s="11"/>
      <c r="C71" s="13"/>
    </row>
    <row r="72" spans="1:3">
      <c r="A72" s="12"/>
      <c r="B72" s="11"/>
      <c r="C72" s="13"/>
    </row>
    <row r="73" spans="1:3">
      <c r="A73" s="12"/>
      <c r="B73" s="11"/>
      <c r="C73" s="13"/>
    </row>
    <row r="74" spans="1:3">
      <c r="A74" s="12"/>
      <c r="B74" s="11"/>
      <c r="C74" s="13"/>
    </row>
    <row r="75" spans="1:3">
      <c r="A75" s="12"/>
      <c r="B75" s="11"/>
      <c r="C75" s="13"/>
    </row>
    <row r="76" spans="1:3">
      <c r="A76" s="12"/>
      <c r="B76" s="11"/>
      <c r="C76" s="13"/>
    </row>
    <row r="77" spans="1:3">
      <c r="A77" s="12"/>
      <c r="B77" s="11"/>
      <c r="C77" s="13"/>
    </row>
    <row r="78" spans="1:3">
      <c r="A78" s="12"/>
      <c r="B78" s="11"/>
      <c r="C78" s="13"/>
    </row>
    <row r="79" spans="1:3">
      <c r="A79" s="12"/>
      <c r="B79" s="11"/>
      <c r="C79" s="13"/>
    </row>
    <row r="80" spans="1:3">
      <c r="A80" s="12"/>
      <c r="B80" s="11"/>
      <c r="C80" s="13"/>
    </row>
    <row r="81" spans="1:3">
      <c r="A81" s="12"/>
      <c r="B81" s="11"/>
      <c r="C81" s="13"/>
    </row>
    <row r="82" spans="1:3">
      <c r="A82" s="12"/>
      <c r="B82" s="11"/>
      <c r="C82" s="13"/>
    </row>
    <row r="83" spans="1:3">
      <c r="A83" s="12"/>
      <c r="B83" s="11"/>
      <c r="C83" s="13"/>
    </row>
    <row r="84" spans="1:3">
      <c r="A84" s="12"/>
      <c r="B84" s="11"/>
      <c r="C84" s="13"/>
    </row>
    <row r="85" spans="1:3">
      <c r="A85" s="12"/>
      <c r="B85" s="11"/>
      <c r="C85" s="13"/>
    </row>
    <row r="86" spans="1:3">
      <c r="A86" s="12"/>
      <c r="B86" s="14"/>
      <c r="C86" s="13"/>
    </row>
    <row r="87" spans="1:3">
      <c r="A87" s="15"/>
      <c r="B87" s="16"/>
      <c r="C87" s="17"/>
    </row>
    <row r="88" spans="1:3">
      <c r="A88" s="15"/>
      <c r="B88" s="16"/>
      <c r="C88" s="17"/>
    </row>
    <row r="89" spans="1:3">
      <c r="A89" s="15"/>
      <c r="B89" s="16"/>
      <c r="C89" s="17"/>
    </row>
    <row r="90" spans="1:3">
      <c r="A90" s="15"/>
      <c r="B90" s="16"/>
      <c r="C90" s="17"/>
    </row>
    <row r="91" spans="1:3">
      <c r="A91" s="15"/>
      <c r="B91" s="16"/>
      <c r="C91" s="17"/>
    </row>
    <row r="92" spans="1:3">
      <c r="A92" s="15"/>
      <c r="B92" s="16"/>
      <c r="C92" s="17"/>
    </row>
    <row r="93" spans="1:3">
      <c r="A93" s="15"/>
      <c r="B93" s="16"/>
      <c r="C93" s="17"/>
    </row>
    <row r="94" spans="1:3">
      <c r="A94" s="15"/>
      <c r="B94" s="16"/>
      <c r="C94" s="17"/>
    </row>
    <row r="95" spans="1:3">
      <c r="A95" s="15"/>
      <c r="B95" s="16"/>
      <c r="C95" s="17"/>
    </row>
    <row r="96" spans="1:3">
      <c r="A96" s="15"/>
      <c r="B96" s="16"/>
      <c r="C96" s="17"/>
    </row>
    <row r="97" spans="1:3">
      <c r="A97" s="15"/>
      <c r="B97" s="16"/>
      <c r="C97" s="17"/>
    </row>
    <row r="98" spans="1:3" ht="33">
      <c r="A98" s="15"/>
      <c r="B98" s="19" t="s">
        <v>170</v>
      </c>
      <c r="C98" s="17"/>
    </row>
    <row r="99" spans="1:3">
      <c r="A99" s="18"/>
      <c r="B99" s="19"/>
      <c r="C99" s="18"/>
    </row>
  </sheetData>
  <phoneticPr fontId="1"/>
  <pageMargins left="0.74803149606299213" right="0.74803149606299213" top="0.98425196850393704" bottom="0.98425196850393704" header="0.31496062992125984" footer="0.31496062992125984"/>
  <pageSetup paperSize="9" scale="60" orientation="portrait" horizontalDpi="1200" verticalDpi="1200" r:id="rId1"/>
  <headerFooter alignWithMargins="0"/>
  <rowBreaks count="2" manualBreakCount="2">
    <brk id="33" max="16383" man="1"/>
    <brk id="99" max="16383" man="1"/>
  </rowBreaks>
  <colBreaks count="1" manualBreakCount="1">
    <brk id="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8857E6-9B30-41B1-BCB6-F09DA5F97D4F}">
  <dimension ref="A1:AK159"/>
  <sheetViews>
    <sheetView zoomScaleNormal="100" workbookViewId="0">
      <selection activeCell="L2" sqref="L2:P2"/>
    </sheetView>
  </sheetViews>
  <sheetFormatPr defaultColWidth="8.75" defaultRowHeight="15.65" customHeight="1"/>
  <cols>
    <col min="1" max="1" width="1.08203125" style="33" customWidth="1"/>
    <col min="2" max="4" width="8.5" style="33" customWidth="1"/>
    <col min="5" max="5" width="8.5" style="34" customWidth="1"/>
    <col min="6" max="6" width="8.5" style="33" customWidth="1"/>
    <col min="7" max="7" width="10.08203125" style="33" customWidth="1"/>
    <col min="8" max="9" width="8.5" style="33" customWidth="1"/>
    <col min="10" max="10" width="10.5" style="33" customWidth="1"/>
    <col min="11" max="15" width="8.5" style="33" customWidth="1"/>
    <col min="16" max="16" width="12.25" style="33" customWidth="1"/>
    <col min="17" max="17" width="0.6640625" style="33" customWidth="1"/>
    <col min="18" max="18" width="8.75" style="33"/>
    <col min="19" max="37" width="8.75" style="63"/>
    <col min="38" max="16384" width="8.75" style="33"/>
  </cols>
  <sheetData>
    <row r="1" spans="1:32" ht="9.5" customHeight="1" thickBot="1">
      <c r="U1" s="63" t="s">
        <v>192</v>
      </c>
      <c r="V1" s="63" t="s">
        <v>193</v>
      </c>
      <c r="W1" s="63" t="s">
        <v>194</v>
      </c>
      <c r="X1" s="63" t="s">
        <v>195</v>
      </c>
      <c r="Y1" s="63" t="s">
        <v>196</v>
      </c>
    </row>
    <row r="2" spans="1:32" ht="36.5" customHeight="1" thickTop="1" thickBot="1">
      <c r="B2" s="132" t="s">
        <v>128</v>
      </c>
      <c r="C2" s="133"/>
      <c r="D2" s="133"/>
      <c r="E2" s="133"/>
      <c r="F2" s="133"/>
      <c r="G2" s="133"/>
      <c r="H2" s="133"/>
      <c r="I2" s="133"/>
      <c r="J2" s="134"/>
      <c r="K2" s="36" t="s">
        <v>25</v>
      </c>
      <c r="L2" s="135" t="str">
        <f>IF(①熱源水ポンプ群合計消費電力計算シート!L2:P2="","",①熱源水ポンプ群合計消費電力計算シート!L2:P2)</f>
        <v/>
      </c>
      <c r="M2" s="136"/>
      <c r="N2" s="136"/>
      <c r="O2" s="136"/>
      <c r="P2" s="137"/>
      <c r="U2" s="63" t="s">
        <v>197</v>
      </c>
      <c r="V2" s="63">
        <v>0</v>
      </c>
      <c r="W2" s="63">
        <v>0</v>
      </c>
      <c r="X2" s="63">
        <v>0</v>
      </c>
      <c r="Y2" s="63">
        <v>0</v>
      </c>
      <c r="Z2" s="87" t="s">
        <v>32</v>
      </c>
      <c r="AA2" s="63" t="s">
        <v>2</v>
      </c>
      <c r="AB2" s="63">
        <f>1000*60</f>
        <v>60000</v>
      </c>
      <c r="AC2" s="63" t="s">
        <v>20</v>
      </c>
      <c r="AD2" s="63">
        <v>1000</v>
      </c>
    </row>
    <row r="3" spans="1:32" ht="36.5" customHeight="1" thickTop="1" thickBot="1">
      <c r="B3" s="138" t="s">
        <v>92</v>
      </c>
      <c r="C3" s="139"/>
      <c r="D3" s="139"/>
      <c r="E3" s="139"/>
      <c r="F3" s="139"/>
      <c r="G3" s="139"/>
      <c r="H3" s="139"/>
      <c r="I3" s="139"/>
      <c r="J3" s="140"/>
      <c r="K3" s="38" t="s">
        <v>24</v>
      </c>
      <c r="L3" s="141" t="str">
        <f>IF(①熱源水ポンプ群合計消費電力計算シート!L3:P3="","",①熱源水ポンプ群合計消費電力計算シート!L3:P3)</f>
        <v/>
      </c>
      <c r="M3" s="197"/>
      <c r="N3" s="197"/>
      <c r="O3" s="197"/>
      <c r="P3" s="198"/>
      <c r="Q3" s="39"/>
      <c r="U3" s="63" t="s">
        <v>198</v>
      </c>
      <c r="V3" s="63">
        <v>0</v>
      </c>
      <c r="W3" s="63">
        <v>0</v>
      </c>
      <c r="X3" s="63">
        <v>0</v>
      </c>
      <c r="Y3" s="63">
        <v>0</v>
      </c>
      <c r="Z3" s="87" t="s">
        <v>33</v>
      </c>
      <c r="AA3" s="63" t="s">
        <v>13</v>
      </c>
      <c r="AB3" s="63">
        <f>60*60</f>
        <v>3600</v>
      </c>
      <c r="AC3" s="63" t="s">
        <v>21</v>
      </c>
      <c r="AD3" s="63">
        <v>100</v>
      </c>
    </row>
    <row r="4" spans="1:32" ht="8.5" customHeight="1" thickTop="1">
      <c r="B4" s="40"/>
      <c r="C4" s="40"/>
      <c r="D4" s="40"/>
      <c r="E4" s="41"/>
      <c r="F4" s="40"/>
      <c r="G4" s="40"/>
      <c r="H4" s="40"/>
      <c r="I4" s="40"/>
      <c r="J4" s="40"/>
      <c r="K4" s="40"/>
      <c r="L4" s="42"/>
      <c r="M4" s="42"/>
      <c r="N4" s="42"/>
      <c r="O4" s="42"/>
      <c r="P4" s="42"/>
      <c r="U4" s="63" t="s">
        <v>199</v>
      </c>
      <c r="V4" s="63">
        <v>-2</v>
      </c>
      <c r="W4" s="63">
        <v>3</v>
      </c>
      <c r="X4" s="63">
        <v>0</v>
      </c>
      <c r="Y4" s="63">
        <v>0</v>
      </c>
      <c r="Z4" s="87" t="s">
        <v>34</v>
      </c>
      <c r="AA4" s="63" t="s">
        <v>14</v>
      </c>
      <c r="AB4" s="63">
        <v>1</v>
      </c>
      <c r="AC4" s="63" t="s">
        <v>22</v>
      </c>
      <c r="AD4" s="63">
        <v>1</v>
      </c>
    </row>
    <row r="5" spans="1:32" ht="24" customHeight="1" thickBot="1">
      <c r="A5" s="43"/>
      <c r="B5" s="142" t="s">
        <v>26</v>
      </c>
      <c r="C5" s="142"/>
      <c r="D5" s="142"/>
      <c r="E5" s="142"/>
      <c r="F5" s="142"/>
      <c r="G5" s="142"/>
      <c r="H5" s="142" t="s">
        <v>63</v>
      </c>
      <c r="I5" s="142"/>
      <c r="J5" s="142"/>
      <c r="K5" s="142"/>
      <c r="L5" s="142"/>
      <c r="M5" s="142"/>
      <c r="N5" s="142"/>
      <c r="O5" s="142"/>
      <c r="P5" s="142"/>
      <c r="Q5" s="39"/>
      <c r="U5" s="63" t="s">
        <v>200</v>
      </c>
      <c r="V5" s="63">
        <v>0</v>
      </c>
      <c r="W5" s="63">
        <v>0</v>
      </c>
      <c r="X5" s="63">
        <v>-2</v>
      </c>
      <c r="Y5" s="63">
        <v>3</v>
      </c>
      <c r="Z5" s="87" t="s">
        <v>35</v>
      </c>
    </row>
    <row r="6" spans="1:32" ht="36.5" customHeight="1" thickTop="1" thickBot="1">
      <c r="A6" s="43"/>
      <c r="B6" s="143" t="str">
        <f>IF(①熱源水ポンプ群合計消費電力計算シート!B6:G6="","",①熱源水ポンプ群合計消費電力計算シート!B6:G6)</f>
        <v/>
      </c>
      <c r="C6" s="143"/>
      <c r="D6" s="143"/>
      <c r="E6" s="143"/>
      <c r="F6" s="143"/>
      <c r="G6" s="143"/>
      <c r="H6" s="144" t="str">
        <f>IF(①熱源水ポンプ群合計消費電力計算シート!H6:P6="","",①熱源水ポンプ群合計消費電力計算シート!H6:P6)</f>
        <v/>
      </c>
      <c r="I6" s="144"/>
      <c r="J6" s="144"/>
      <c r="K6" s="144"/>
      <c r="L6" s="144"/>
      <c r="M6" s="144"/>
      <c r="N6" s="144"/>
      <c r="O6" s="144"/>
      <c r="P6" s="144"/>
      <c r="Q6" s="39"/>
      <c r="U6" s="63" t="s">
        <v>201</v>
      </c>
      <c r="V6" s="63">
        <v>0</v>
      </c>
      <c r="W6" s="63">
        <v>0</v>
      </c>
      <c r="X6" s="63">
        <v>-2</v>
      </c>
      <c r="Y6" s="63">
        <v>3</v>
      </c>
      <c r="Z6" s="87" t="s">
        <v>36</v>
      </c>
    </row>
    <row r="7" spans="1:32" ht="7.5" customHeight="1" thickTop="1">
      <c r="B7" s="44"/>
      <c r="C7" s="44"/>
      <c r="D7" s="44"/>
      <c r="E7" s="45"/>
      <c r="F7" s="44"/>
      <c r="G7" s="44"/>
      <c r="H7" s="44"/>
      <c r="I7" s="44"/>
      <c r="J7" s="44"/>
      <c r="K7" s="44"/>
      <c r="L7" s="44"/>
      <c r="M7" s="44"/>
      <c r="N7" s="44"/>
      <c r="O7" s="44"/>
      <c r="P7" s="44"/>
      <c r="U7" s="63" t="s">
        <v>202</v>
      </c>
      <c r="V7" s="63">
        <v>-2</v>
      </c>
      <c r="W7" s="63">
        <v>3</v>
      </c>
      <c r="X7" s="63">
        <v>-2</v>
      </c>
      <c r="Y7" s="63">
        <v>3</v>
      </c>
      <c r="Z7" s="87" t="s">
        <v>37</v>
      </c>
    </row>
    <row r="8" spans="1:32" ht="15.65" customHeight="1">
      <c r="B8" s="40" t="s">
        <v>3</v>
      </c>
      <c r="C8" s="40"/>
      <c r="D8" s="40"/>
      <c r="E8" s="40"/>
      <c r="F8" s="40"/>
      <c r="G8" s="40"/>
      <c r="H8" s="40"/>
      <c r="I8" s="41"/>
      <c r="J8" s="46"/>
      <c r="K8" s="40"/>
      <c r="L8" s="40"/>
      <c r="M8" s="40"/>
      <c r="N8" s="40"/>
      <c r="O8" s="40"/>
      <c r="P8" s="47" t="s">
        <v>77</v>
      </c>
    </row>
    <row r="9" spans="1:32" ht="24.5" customHeight="1" thickBot="1">
      <c r="A9" s="43"/>
      <c r="B9" s="115" t="s">
        <v>27</v>
      </c>
      <c r="C9" s="115"/>
      <c r="D9" s="115"/>
      <c r="E9" s="115"/>
      <c r="F9" s="115"/>
      <c r="G9" s="48" t="s">
        <v>28</v>
      </c>
      <c r="H9" s="116" t="s">
        <v>29</v>
      </c>
      <c r="I9" s="116"/>
      <c r="J9" s="115" t="s">
        <v>30</v>
      </c>
      <c r="K9" s="115"/>
      <c r="L9" s="115"/>
      <c r="M9" s="115"/>
      <c r="N9" s="115"/>
      <c r="O9" s="115"/>
      <c r="P9" s="115"/>
      <c r="Q9" s="39"/>
    </row>
    <row r="10" spans="1:32" ht="65" customHeight="1" thickTop="1" thickBot="1">
      <c r="A10" s="43"/>
      <c r="B10" s="101" t="s">
        <v>4</v>
      </c>
      <c r="C10" s="101"/>
      <c r="D10" s="101"/>
      <c r="E10" s="101"/>
      <c r="F10" s="101"/>
      <c r="G10" s="64" t="s">
        <v>31</v>
      </c>
      <c r="H10" s="193" t="str">
        <f>IF(①熱源水ポンプ群合計消費電力計算シート!H10="","",①熱源水ポンプ群合計消費電力計算シート!H10)</f>
        <v/>
      </c>
      <c r="I10" s="194"/>
      <c r="J10" s="195" t="str">
        <f ca="1">"※「熱交換器の有無」「井水槽の有無」「熱交換後の熱源水を井水槽に戻すかどうか」により「タイプ」を選択する。"
&amp; IF($H$10="","","選択した「"&amp;$H$10&amp;"」は"&amp;INDIRECT(ADDRESS(ROW($Z$1)+MATCH($H$10,$U$2:$U$7),COLUMN($Z$1))) &amp; "である。")
&amp; "タイプに応じて以下に必要事項を入力する。"</f>
        <v>※「熱交換器の有無」「井水槽の有無」「熱交換後の熱源水を井水槽に戻すかどうか」により「タイプ」を選択する。タイプに応じて以下に必要事項を入力する。</v>
      </c>
      <c r="K10" s="195"/>
      <c r="L10" s="195"/>
      <c r="M10" s="195"/>
      <c r="N10" s="195"/>
      <c r="O10" s="195"/>
      <c r="P10" s="196"/>
      <c r="Q10" s="39"/>
    </row>
    <row r="11" spans="1:32" ht="54.5" customHeight="1" thickTop="1" thickBot="1">
      <c r="A11" s="43"/>
      <c r="B11" s="101" t="s">
        <v>17</v>
      </c>
      <c r="C11" s="101"/>
      <c r="D11" s="101"/>
      <c r="E11" s="101"/>
      <c r="F11" s="125"/>
      <c r="G11" s="28" t="str">
        <f>①熱源水ポンプ群合計消費電力計算シート!$G$21</f>
        <v>[L/min]</v>
      </c>
      <c r="H11" s="199"/>
      <c r="I11" s="200"/>
      <c r="J11" s="195" t="s">
        <v>214</v>
      </c>
      <c r="K11" s="195"/>
      <c r="L11" s="195"/>
      <c r="M11" s="195"/>
      <c r="N11" s="195"/>
      <c r="O11" s="195"/>
      <c r="P11" s="196"/>
      <c r="Q11" s="39"/>
      <c r="V11" s="63" t="e">
        <f xml:space="preserve"> ROUND(H11, 2-INT(LOG(ABS(H11))))</f>
        <v>#NUM!</v>
      </c>
      <c r="Y11" s="63">
        <v>-1</v>
      </c>
      <c r="Z11" s="63">
        <v>1</v>
      </c>
    </row>
    <row r="12" spans="1:32" ht="33.5" customHeight="1" thickTop="1" thickBot="1">
      <c r="A12" s="43"/>
      <c r="B12" s="125" t="s">
        <v>5</v>
      </c>
      <c r="C12" s="126"/>
      <c r="D12" s="126"/>
      <c r="E12" s="126"/>
      <c r="F12" s="126"/>
      <c r="G12" s="188"/>
      <c r="H12" s="65" t="s">
        <v>7</v>
      </c>
      <c r="I12" s="65" t="s">
        <v>6</v>
      </c>
      <c r="J12" s="142" t="s">
        <v>38</v>
      </c>
      <c r="K12" s="189"/>
      <c r="L12" s="189"/>
      <c r="M12" s="189"/>
      <c r="N12" s="189"/>
      <c r="O12" s="189"/>
      <c r="P12" s="189"/>
      <c r="Q12" s="39"/>
      <c r="Y12" s="63" t="s">
        <v>203</v>
      </c>
      <c r="Z12" s="63" t="s">
        <v>204</v>
      </c>
      <c r="AA12" s="63" t="s">
        <v>205</v>
      </c>
      <c r="AB12" s="63" t="s">
        <v>206</v>
      </c>
      <c r="AC12" s="63" t="s">
        <v>207</v>
      </c>
      <c r="AD12" s="63" t="s">
        <v>208</v>
      </c>
      <c r="AF12" s="87"/>
    </row>
    <row r="13" spans="1:32" ht="36.5" customHeight="1" thickTop="1" thickBot="1">
      <c r="A13" s="43"/>
      <c r="B13" s="111" t="s">
        <v>39</v>
      </c>
      <c r="C13" s="111"/>
      <c r="D13" s="111"/>
      <c r="E13" s="111"/>
      <c r="F13" s="111"/>
      <c r="G13" s="52" t="s">
        <v>0</v>
      </c>
      <c r="H13" s="2"/>
      <c r="I13" s="2"/>
      <c r="J13" s="190" t="s">
        <v>100</v>
      </c>
      <c r="K13" s="185"/>
      <c r="L13" s="185"/>
      <c r="M13" s="185"/>
      <c r="N13" s="185"/>
      <c r="O13" s="185"/>
      <c r="P13" s="186"/>
      <c r="Q13" s="39"/>
      <c r="V13" s="63">
        <f>ROUND(H13,1)</f>
        <v>0</v>
      </c>
      <c r="W13" s="63">
        <f t="shared" ref="W13:W16" si="0">ROUND(I13,1)</f>
        <v>0</v>
      </c>
      <c r="Y13" s="63" t="s">
        <v>209</v>
      </c>
      <c r="Z13" s="63" t="s">
        <v>209</v>
      </c>
      <c r="AA13" s="63" t="s">
        <v>209</v>
      </c>
      <c r="AB13" s="63" t="s">
        <v>209</v>
      </c>
      <c r="AC13" s="63" t="s">
        <v>209</v>
      </c>
      <c r="AD13" s="63" t="s">
        <v>209</v>
      </c>
    </row>
    <row r="14" spans="1:32" ht="36.5" customHeight="1" thickTop="1" thickBot="1">
      <c r="A14" s="43"/>
      <c r="B14" s="111" t="s">
        <v>40</v>
      </c>
      <c r="C14" s="111"/>
      <c r="D14" s="111"/>
      <c r="E14" s="111"/>
      <c r="F14" s="111"/>
      <c r="G14" s="52" t="s">
        <v>0</v>
      </c>
      <c r="H14" s="2"/>
      <c r="I14" s="2"/>
      <c r="J14" s="191"/>
      <c r="K14" s="191"/>
      <c r="L14" s="191"/>
      <c r="M14" s="191"/>
      <c r="N14" s="191"/>
      <c r="O14" s="191"/>
      <c r="P14" s="192"/>
      <c r="Q14" s="39"/>
      <c r="V14" s="63">
        <f>ROUND(H14,1)</f>
        <v>0</v>
      </c>
      <c r="W14" s="63">
        <f t="shared" si="0"/>
        <v>0</v>
      </c>
      <c r="Y14" s="63" t="s">
        <v>209</v>
      </c>
      <c r="Z14" s="63" t="s">
        <v>209</v>
      </c>
      <c r="AA14" s="63" t="s">
        <v>209</v>
      </c>
      <c r="AB14" s="63" t="s">
        <v>209</v>
      </c>
      <c r="AC14" s="63" t="s">
        <v>209</v>
      </c>
      <c r="AD14" s="63" t="s">
        <v>209</v>
      </c>
    </row>
    <row r="15" spans="1:32" ht="33.5" customHeight="1" thickTop="1" thickBot="1">
      <c r="A15" s="43"/>
      <c r="B15" s="115" t="s">
        <v>41</v>
      </c>
      <c r="C15" s="115"/>
      <c r="D15" s="115"/>
      <c r="E15" s="115"/>
      <c r="F15" s="115"/>
      <c r="G15" s="52" t="s">
        <v>8</v>
      </c>
      <c r="H15" s="2"/>
      <c r="I15" s="2"/>
      <c r="J15" s="185" t="str">
        <f>"※地中熱ヒートポンプの熱源水入口・出口温度の設計値を入力する。小数点以下2桁を四捨五入して入力する。"
&amp;IF($H$16&gt;=$H$15,CHAR(10) &amp; "※Ti,h ＞ To,h となるように入力してください","")
&amp;IF($I$15&gt;=$I$16,CHAR(10) &amp; "※Ti,c ＜ To,c となるように入力してください","")</f>
        <v>※地中熱ヒートポンプの熱源水入口・出口温度の設計値を入力する。小数点以下2桁を四捨五入して入力する。
※Ti,h ＞ To,h となるように入力してください
※Ti,c ＜ To,c となるように入力してください</v>
      </c>
      <c r="K15" s="185"/>
      <c r="L15" s="185"/>
      <c r="M15" s="185"/>
      <c r="N15" s="185"/>
      <c r="O15" s="185"/>
      <c r="P15" s="186"/>
      <c r="V15" s="63">
        <f>ROUND(H15,1)</f>
        <v>0</v>
      </c>
      <c r="W15" s="63">
        <f t="shared" si="0"/>
        <v>0</v>
      </c>
      <c r="Y15" s="63" t="s">
        <v>209</v>
      </c>
      <c r="Z15" s="63" t="s">
        <v>209</v>
      </c>
      <c r="AA15" s="63" t="s">
        <v>209</v>
      </c>
      <c r="AB15" s="63" t="s">
        <v>209</v>
      </c>
      <c r="AC15" s="63" t="s">
        <v>209</v>
      </c>
      <c r="AD15" s="63" t="s">
        <v>209</v>
      </c>
    </row>
    <row r="16" spans="1:32" ht="33.5" customHeight="1" thickTop="1" thickBot="1">
      <c r="A16" s="43"/>
      <c r="B16" s="142" t="s">
        <v>98</v>
      </c>
      <c r="C16" s="142"/>
      <c r="D16" s="142"/>
      <c r="E16" s="142"/>
      <c r="F16" s="142"/>
      <c r="G16" s="66" t="s">
        <v>8</v>
      </c>
      <c r="H16" s="2"/>
      <c r="I16" s="2"/>
      <c r="J16" s="181"/>
      <c r="K16" s="181"/>
      <c r="L16" s="181"/>
      <c r="M16" s="181"/>
      <c r="N16" s="181"/>
      <c r="O16" s="181"/>
      <c r="P16" s="187"/>
      <c r="V16" s="63">
        <f>ROUND(H16,1)</f>
        <v>0</v>
      </c>
      <c r="W16" s="63">
        <f t="shared" si="0"/>
        <v>0</v>
      </c>
      <c r="Y16" s="63" t="s">
        <v>209</v>
      </c>
      <c r="Z16" s="63" t="s">
        <v>209</v>
      </c>
      <c r="AA16" s="63" t="s">
        <v>209</v>
      </c>
      <c r="AB16" s="63" t="s">
        <v>209</v>
      </c>
      <c r="AC16" s="63" t="s">
        <v>209</v>
      </c>
      <c r="AD16" s="63" t="s">
        <v>209</v>
      </c>
    </row>
    <row r="17" spans="1:30" ht="33.5" customHeight="1" thickTop="1" thickBot="1">
      <c r="A17" s="43"/>
      <c r="B17" s="101" t="s">
        <v>9</v>
      </c>
      <c r="C17" s="101"/>
      <c r="D17" s="101"/>
      <c r="E17" s="101"/>
      <c r="F17" s="101"/>
      <c r="G17" s="101"/>
      <c r="H17" s="102"/>
      <c r="I17" s="102"/>
      <c r="J17" s="110" t="s">
        <v>47</v>
      </c>
      <c r="K17" s="104"/>
      <c r="L17" s="104"/>
      <c r="M17" s="104"/>
      <c r="N17" s="104"/>
      <c r="O17" s="104"/>
      <c r="P17" s="104"/>
      <c r="Q17" s="39"/>
      <c r="Y17" s="63" t="s">
        <v>209</v>
      </c>
      <c r="Z17" s="63" t="s">
        <v>209</v>
      </c>
      <c r="AA17" s="63" t="s">
        <v>209</v>
      </c>
      <c r="AB17" s="63" t="s">
        <v>209</v>
      </c>
      <c r="AC17" s="63" t="s">
        <v>209</v>
      </c>
      <c r="AD17" s="63" t="s">
        <v>209</v>
      </c>
    </row>
    <row r="18" spans="1:30" ht="33.5" customHeight="1" thickTop="1" thickBot="1">
      <c r="A18" s="43"/>
      <c r="B18" s="117" t="s">
        <v>42</v>
      </c>
      <c r="C18" s="118"/>
      <c r="D18" s="118"/>
      <c r="E18" s="118"/>
      <c r="F18" s="119"/>
      <c r="G18" s="52" t="s">
        <v>0</v>
      </c>
      <c r="H18" s="170" t="str">
        <f>IF(①熱源水ポンプ群合計消費電力計算シート!H20="","",①熱源水ポンプ群合計消費電力計算シート!H20)</f>
        <v/>
      </c>
      <c r="I18" s="170"/>
      <c r="J18" s="124" t="s">
        <v>72</v>
      </c>
      <c r="K18" s="157"/>
      <c r="L18" s="157"/>
      <c r="M18" s="157"/>
      <c r="N18" s="157"/>
      <c r="O18" s="157"/>
      <c r="P18" s="157"/>
      <c r="Q18" s="39"/>
      <c r="V18" s="63" t="e">
        <f xml:space="preserve"> IF(H18&lt;=0,0,ROUND(H18, 2-INT(LOG(ABS(H18))))
)</f>
        <v>#VALUE!</v>
      </c>
      <c r="Y18" s="63" t="s">
        <v>209</v>
      </c>
      <c r="Z18" s="63" t="s">
        <v>209</v>
      </c>
      <c r="AA18" s="63" t="s">
        <v>209</v>
      </c>
      <c r="AB18" s="63" t="s">
        <v>209</v>
      </c>
      <c r="AC18" s="63" t="s">
        <v>209</v>
      </c>
      <c r="AD18" s="63" t="s">
        <v>209</v>
      </c>
    </row>
    <row r="19" spans="1:30" ht="33.5" customHeight="1" thickTop="1" thickBot="1">
      <c r="A19" s="43"/>
      <c r="B19" s="121" t="s">
        <v>43</v>
      </c>
      <c r="C19" s="122"/>
      <c r="D19" s="122"/>
      <c r="E19" s="122"/>
      <c r="F19" s="123"/>
      <c r="G19" s="52" t="str">
        <f>$G$11</f>
        <v>[L/min]</v>
      </c>
      <c r="H19" s="170" t="str">
        <f>IF(①熱源水ポンプ群合計消費電力計算シート!H21="","",①熱源水ポンプ群合計消費電力計算シート!H21)</f>
        <v/>
      </c>
      <c r="I19" s="170"/>
      <c r="J19" s="124"/>
      <c r="K19" s="157"/>
      <c r="L19" s="157"/>
      <c r="M19" s="157"/>
      <c r="N19" s="157"/>
      <c r="O19" s="157"/>
      <c r="P19" s="157"/>
      <c r="Q19" s="39"/>
      <c r="V19" s="63" t="e">
        <f xml:space="preserve"> ROUND(H19, 2-INT(LOG(ABS(H19))))</f>
        <v>#VALUE!</v>
      </c>
      <c r="Y19" s="63" t="s">
        <v>209</v>
      </c>
      <c r="Z19" s="63" t="s">
        <v>209</v>
      </c>
      <c r="AA19" s="63" t="s">
        <v>209</v>
      </c>
      <c r="AB19" s="63" t="s">
        <v>209</v>
      </c>
      <c r="AC19" s="63" t="s">
        <v>209</v>
      </c>
      <c r="AD19" s="63" t="s">
        <v>209</v>
      </c>
    </row>
    <row r="20" spans="1:30" ht="33.5" customHeight="1" thickTop="1" thickBot="1">
      <c r="A20" s="43"/>
      <c r="B20" s="117" t="s">
        <v>44</v>
      </c>
      <c r="C20" s="118"/>
      <c r="D20" s="118"/>
      <c r="E20" s="118"/>
      <c r="F20" s="119"/>
      <c r="G20" s="52" t="s">
        <v>0</v>
      </c>
      <c r="H20" s="170" t="str">
        <f>IF(①熱源水ポンプ群合計消費電力計算シート!H23="","",①熱源水ポンプ群合計消費電力計算シート!H23)</f>
        <v/>
      </c>
      <c r="I20" s="170"/>
      <c r="J20" s="124" t="s">
        <v>73</v>
      </c>
      <c r="K20" s="157"/>
      <c r="L20" s="157"/>
      <c r="M20" s="157"/>
      <c r="N20" s="157"/>
      <c r="O20" s="157"/>
      <c r="P20" s="157"/>
      <c r="Q20" s="39"/>
      <c r="V20" s="63" t="e">
        <f xml:space="preserve"> ROUND(H20, 2-INT(LOG(ABS(H20))))</f>
        <v>#VALUE!</v>
      </c>
      <c r="Z20" s="63" t="s">
        <v>209</v>
      </c>
      <c r="AA20" s="63" t="s">
        <v>209</v>
      </c>
      <c r="AB20" s="63" t="s">
        <v>209</v>
      </c>
      <c r="AC20" s="63" t="s">
        <v>209</v>
      </c>
      <c r="AD20" s="63" t="s">
        <v>209</v>
      </c>
    </row>
    <row r="21" spans="1:30" ht="33.5" customHeight="1" thickTop="1" thickBot="1">
      <c r="A21" s="43"/>
      <c r="B21" s="121" t="s">
        <v>45</v>
      </c>
      <c r="C21" s="122"/>
      <c r="D21" s="122"/>
      <c r="E21" s="122"/>
      <c r="F21" s="123"/>
      <c r="G21" s="52" t="str">
        <f>$G$11</f>
        <v>[L/min]</v>
      </c>
      <c r="H21" s="170" t="str">
        <f>IF(①熱源水ポンプ群合計消費電力計算シート!H24="","",①熱源水ポンプ群合計消費電力計算シート!H24)</f>
        <v/>
      </c>
      <c r="I21" s="170"/>
      <c r="J21" s="124"/>
      <c r="K21" s="157"/>
      <c r="L21" s="157"/>
      <c r="M21" s="157"/>
      <c r="N21" s="157"/>
      <c r="O21" s="157"/>
      <c r="P21" s="157"/>
      <c r="Q21" s="39"/>
      <c r="V21" s="63" t="e">
        <f xml:space="preserve"> ROUND(H21, 2-INT(LOG(ABS(H21))))</f>
        <v>#VALUE!</v>
      </c>
      <c r="Z21" s="63" t="s">
        <v>209</v>
      </c>
      <c r="AA21" s="63" t="s">
        <v>209</v>
      </c>
      <c r="AB21" s="63" t="s">
        <v>209</v>
      </c>
      <c r="AC21" s="63" t="s">
        <v>209</v>
      </c>
      <c r="AD21" s="63" t="s">
        <v>209</v>
      </c>
    </row>
    <row r="22" spans="1:30" ht="33.5" customHeight="1" thickTop="1" thickBot="1">
      <c r="A22" s="43"/>
      <c r="B22" s="117" t="s">
        <v>46</v>
      </c>
      <c r="C22" s="118"/>
      <c r="D22" s="118"/>
      <c r="E22" s="118"/>
      <c r="F22" s="119"/>
      <c r="G22" s="52" t="s">
        <v>0</v>
      </c>
      <c r="H22" s="170" t="str">
        <f>IF(①熱源水ポンプ群合計消費電力計算シート!H26="","",①熱源水ポンプ群合計消費電力計算シート!H26)</f>
        <v/>
      </c>
      <c r="I22" s="170"/>
      <c r="J22" s="124" t="s">
        <v>74</v>
      </c>
      <c r="K22" s="157"/>
      <c r="L22" s="157"/>
      <c r="M22" s="157"/>
      <c r="N22" s="157"/>
      <c r="O22" s="157"/>
      <c r="P22" s="157"/>
      <c r="Q22" s="39"/>
      <c r="V22" s="63" t="e">
        <f xml:space="preserve"> ROUND(H22, 2-INT(LOG(ABS(H22))))</f>
        <v>#VALUE!</v>
      </c>
      <c r="AC22" s="63" t="s">
        <v>209</v>
      </c>
      <c r="AD22" s="63" t="s">
        <v>209</v>
      </c>
    </row>
    <row r="23" spans="1:30" ht="33.5" customHeight="1" thickTop="1" thickBot="1">
      <c r="A23" s="43"/>
      <c r="B23" s="125" t="s">
        <v>48</v>
      </c>
      <c r="C23" s="126"/>
      <c r="D23" s="126"/>
      <c r="E23" s="126"/>
      <c r="F23" s="126"/>
      <c r="G23" s="127"/>
      <c r="H23" s="65" t="s">
        <v>7</v>
      </c>
      <c r="I23" s="65" t="s">
        <v>6</v>
      </c>
      <c r="J23" s="178" t="str">
        <f>"※熱交換器の一次側流体(井水側)、二次側流体(地中熱ヒートポンプ側)の入口・出口温度の設計値を入力する。小数点以下2桁を四捨五入して入力する。"
&amp;IF($H$25&lt;$H$24,"",CHAR(10) &amp; "※T1i,h &gt; T1o,h となるように入力してください")
&amp;IF($H$26&lt;$H$27,"",CHAR(10) &amp; "※T2o,h &gt; T2i,h となるように入力してください")
&amp;IF($I$25&gt;$I$24,"",CHAR(10) &amp; "※T1i,c &lt; T1o,c となるように入力してください")
&amp;IF($I$26&gt;$I$27,"",CHAR(10) &amp; "※T2i,c &gt; T2o,c となるように入力してください")
&amp;IF($H$27&lt;$H$24,"",CHAR(10) &amp; "※T1i,h &gt; T2o,h となるように入力してください")
&amp;IF($H$26&lt;$H$25,"",CHAR(10) &amp; "※T1o,h &gt; T2i,h となるように入力してください")
&amp;IF($I$27&gt;$I$24,"",CHAR(10) &amp; "※T1i,c &lt; T2o,c となるように入力してください")
&amp;IF($I$26&gt;$I$25,"",CHAR(10) &amp; "※T1o,c &lt; T2i,c となるように入力してください")</f>
        <v>※熱交換器の一次側流体(井水側)、二次側流体(地中熱ヒートポンプ側)の入口・出口温度の設計値を入力する。小数点以下2桁を四捨五入して入力する。
※T1i,h &gt; T1o,h となるように入力してください
※T2o,h &gt; T2i,h となるように入力してください
※T1i,c &lt; T1o,c となるように入力してください
※T2i,c &gt; T2o,c となるように入力してください
※T1i,h &gt; T2o,h となるように入力してください
※T1o,h &gt; T2i,h となるように入力してください
※T1i,c &lt; T2o,c となるように入力してください
※T1o,c &lt; T2i,c となるように入力してください</v>
      </c>
      <c r="K23" s="179"/>
      <c r="L23" s="179"/>
      <c r="M23" s="179"/>
      <c r="N23" s="179"/>
      <c r="O23" s="179"/>
      <c r="P23" s="180"/>
      <c r="Q23" s="39"/>
      <c r="AB23" s="63" t="s">
        <v>209</v>
      </c>
      <c r="AC23" s="63" t="s">
        <v>209</v>
      </c>
      <c r="AD23" s="63" t="s">
        <v>209</v>
      </c>
    </row>
    <row r="24" spans="1:30" ht="33.5" customHeight="1" thickTop="1" thickBot="1">
      <c r="A24" s="43"/>
      <c r="B24" s="115" t="s">
        <v>49</v>
      </c>
      <c r="C24" s="115"/>
      <c r="D24" s="115"/>
      <c r="E24" s="115"/>
      <c r="F24" s="115"/>
      <c r="G24" s="52" t="s">
        <v>8</v>
      </c>
      <c r="H24" s="2"/>
      <c r="I24" s="2"/>
      <c r="J24" s="181"/>
      <c r="K24" s="181"/>
      <c r="L24" s="181"/>
      <c r="M24" s="181"/>
      <c r="N24" s="181"/>
      <c r="O24" s="181"/>
      <c r="P24" s="182"/>
      <c r="Q24" s="39"/>
      <c r="V24" s="63">
        <f>ROUND(H24,1)</f>
        <v>0</v>
      </c>
      <c r="W24" s="63">
        <f t="shared" ref="W24:W27" si="1">ROUND(I24,1)</f>
        <v>0</v>
      </c>
      <c r="AB24" s="63" t="s">
        <v>209</v>
      </c>
      <c r="AC24" s="63" t="s">
        <v>209</v>
      </c>
      <c r="AD24" s="63" t="s">
        <v>209</v>
      </c>
    </row>
    <row r="25" spans="1:30" ht="33.5" customHeight="1" thickTop="1" thickBot="1">
      <c r="A25" s="43"/>
      <c r="B25" s="115" t="s">
        <v>50</v>
      </c>
      <c r="C25" s="115"/>
      <c r="D25" s="115"/>
      <c r="E25" s="115"/>
      <c r="F25" s="115"/>
      <c r="G25" s="52" t="s">
        <v>8</v>
      </c>
      <c r="H25" s="2"/>
      <c r="I25" s="2"/>
      <c r="J25" s="181"/>
      <c r="K25" s="181"/>
      <c r="L25" s="181"/>
      <c r="M25" s="181"/>
      <c r="N25" s="181"/>
      <c r="O25" s="181"/>
      <c r="P25" s="182"/>
      <c r="Q25" s="39"/>
      <c r="V25" s="63">
        <f>ROUND(H25,1)</f>
        <v>0</v>
      </c>
      <c r="W25" s="63">
        <f t="shared" si="1"/>
        <v>0</v>
      </c>
      <c r="AB25" s="63" t="s">
        <v>209</v>
      </c>
      <c r="AC25" s="63" t="s">
        <v>209</v>
      </c>
      <c r="AD25" s="63" t="s">
        <v>209</v>
      </c>
    </row>
    <row r="26" spans="1:30" ht="33.5" customHeight="1" thickTop="1" thickBot="1">
      <c r="A26" s="43"/>
      <c r="B26" s="115" t="s">
        <v>51</v>
      </c>
      <c r="C26" s="115"/>
      <c r="D26" s="115"/>
      <c r="E26" s="115"/>
      <c r="F26" s="115"/>
      <c r="G26" s="52" t="s">
        <v>8</v>
      </c>
      <c r="H26" s="2"/>
      <c r="I26" s="2"/>
      <c r="J26" s="181"/>
      <c r="K26" s="181"/>
      <c r="L26" s="181"/>
      <c r="M26" s="181"/>
      <c r="N26" s="181"/>
      <c r="O26" s="181"/>
      <c r="P26" s="182"/>
      <c r="Q26" s="39"/>
      <c r="V26" s="63">
        <f>ROUND(H26,1)</f>
        <v>0</v>
      </c>
      <c r="W26" s="63">
        <f t="shared" si="1"/>
        <v>0</v>
      </c>
      <c r="AB26" s="63" t="s">
        <v>209</v>
      </c>
      <c r="AC26" s="63" t="s">
        <v>209</v>
      </c>
      <c r="AD26" s="63" t="s">
        <v>209</v>
      </c>
    </row>
    <row r="27" spans="1:30" ht="33.5" customHeight="1" thickTop="1" thickBot="1">
      <c r="A27" s="43"/>
      <c r="B27" s="115" t="s">
        <v>52</v>
      </c>
      <c r="C27" s="115"/>
      <c r="D27" s="115"/>
      <c r="E27" s="115"/>
      <c r="F27" s="115"/>
      <c r="G27" s="52" t="s">
        <v>8</v>
      </c>
      <c r="H27" s="2"/>
      <c r="I27" s="2"/>
      <c r="J27" s="183"/>
      <c r="K27" s="183"/>
      <c r="L27" s="183"/>
      <c r="M27" s="183"/>
      <c r="N27" s="183"/>
      <c r="O27" s="183"/>
      <c r="P27" s="184"/>
      <c r="Q27" s="39"/>
      <c r="V27" s="63">
        <f>ROUND(H27,1)</f>
        <v>0</v>
      </c>
      <c r="W27" s="63">
        <f t="shared" si="1"/>
        <v>0</v>
      </c>
      <c r="AB27" s="63" t="s">
        <v>209</v>
      </c>
      <c r="AC27" s="63" t="s">
        <v>209</v>
      </c>
      <c r="AD27" s="63" t="s">
        <v>209</v>
      </c>
    </row>
    <row r="28" spans="1:30" ht="33.5" customHeight="1" thickTop="1" thickBot="1">
      <c r="B28" s="101" t="s">
        <v>53</v>
      </c>
      <c r="C28" s="101"/>
      <c r="D28" s="101"/>
      <c r="E28" s="101"/>
      <c r="F28" s="101"/>
      <c r="G28" s="101"/>
      <c r="H28" s="102"/>
      <c r="I28" s="102"/>
      <c r="J28" s="110" t="s">
        <v>56</v>
      </c>
      <c r="K28" s="104"/>
      <c r="L28" s="104"/>
      <c r="M28" s="104"/>
      <c r="N28" s="104"/>
      <c r="O28" s="104"/>
      <c r="P28" s="104"/>
      <c r="Z28" s="63" t="s">
        <v>209</v>
      </c>
      <c r="AA28" s="63" t="s">
        <v>209</v>
      </c>
      <c r="AC28" s="63" t="s">
        <v>209</v>
      </c>
      <c r="AD28" s="63" t="s">
        <v>209</v>
      </c>
    </row>
    <row r="29" spans="1:30" ht="33.5" customHeight="1" thickTop="1" thickBot="1">
      <c r="A29" s="43"/>
      <c r="B29" s="121" t="s">
        <v>54</v>
      </c>
      <c r="C29" s="122"/>
      <c r="D29" s="122"/>
      <c r="E29" s="122"/>
      <c r="F29" s="123"/>
      <c r="G29" s="52" t="s">
        <v>15</v>
      </c>
      <c r="H29" s="170"/>
      <c r="I29" s="170"/>
      <c r="J29" s="174" t="str">
        <f>"※井水槽容量の設計値を入力する。小数点以下2桁を四捨五入して入力する。"</f>
        <v>※井水槽容量の設計値を入力する。小数点以下2桁を四捨五入して入力する。</v>
      </c>
      <c r="K29" s="174"/>
      <c r="L29" s="174"/>
      <c r="M29" s="174"/>
      <c r="N29" s="174"/>
      <c r="O29" s="174"/>
      <c r="P29" s="113"/>
      <c r="Q29" s="39"/>
      <c r="V29" s="63">
        <f t="shared" ref="V29:W30" si="2">ROUND(H29,1)</f>
        <v>0</v>
      </c>
      <c r="Z29" s="63" t="s">
        <v>209</v>
      </c>
      <c r="AC29" s="63" t="s">
        <v>209</v>
      </c>
    </row>
    <row r="30" spans="1:30" ht="33.5" customHeight="1" thickTop="1" thickBot="1">
      <c r="A30" s="43"/>
      <c r="B30" s="121" t="s">
        <v>55</v>
      </c>
      <c r="C30" s="122"/>
      <c r="D30" s="122"/>
      <c r="E30" s="122"/>
      <c r="F30" s="123"/>
      <c r="G30" s="52" t="s">
        <v>16</v>
      </c>
      <c r="H30" s="2"/>
      <c r="I30" s="2"/>
      <c r="J30" s="177" t="str">
        <f>"※負荷時間を1日あたりの時間数で入力する。小数点以下2桁を四捨五入して入力する。"</f>
        <v>※負荷時間を1日あたりの時間数で入力する。小数点以下2桁を四捨五入して入力する。</v>
      </c>
      <c r="K30" s="174"/>
      <c r="L30" s="174"/>
      <c r="M30" s="174"/>
      <c r="N30" s="174"/>
      <c r="O30" s="174"/>
      <c r="P30" s="113"/>
      <c r="Q30" s="39"/>
      <c r="V30" s="63">
        <f t="shared" si="2"/>
        <v>0</v>
      </c>
      <c r="W30" s="63">
        <f t="shared" si="2"/>
        <v>0</v>
      </c>
      <c r="Z30" s="63" t="s">
        <v>209</v>
      </c>
      <c r="AC30" s="63" t="s">
        <v>209</v>
      </c>
    </row>
    <row r="31" spans="1:30" ht="33.5" customHeight="1" thickTop="1" thickBot="1">
      <c r="A31" s="43"/>
      <c r="B31" s="125" t="s">
        <v>123</v>
      </c>
      <c r="C31" s="126"/>
      <c r="D31" s="126"/>
      <c r="E31" s="126"/>
      <c r="F31" s="127"/>
      <c r="G31" s="64" t="s">
        <v>31</v>
      </c>
      <c r="H31" s="172"/>
      <c r="I31" s="172"/>
      <c r="J31" s="173" t="s">
        <v>57</v>
      </c>
      <c r="K31" s="174"/>
      <c r="L31" s="174"/>
      <c r="M31" s="174"/>
      <c r="N31" s="174"/>
      <c r="O31" s="174"/>
      <c r="P31" s="113"/>
      <c r="Q31" s="39"/>
      <c r="Z31" s="63" t="s">
        <v>209</v>
      </c>
      <c r="AA31" s="63" t="s">
        <v>209</v>
      </c>
      <c r="AC31" s="63" t="s">
        <v>209</v>
      </c>
      <c r="AD31" s="63" t="s">
        <v>209</v>
      </c>
    </row>
    <row r="32" spans="1:30" ht="33.5" customHeight="1" thickTop="1" thickBot="1">
      <c r="A32" s="43"/>
      <c r="B32" s="121" t="s">
        <v>124</v>
      </c>
      <c r="C32" s="122"/>
      <c r="D32" s="122"/>
      <c r="E32" s="122"/>
      <c r="F32" s="122"/>
      <c r="G32" s="53" t="s">
        <v>19</v>
      </c>
      <c r="H32" s="170"/>
      <c r="I32" s="170"/>
      <c r="J32" s="175" t="s">
        <v>120</v>
      </c>
      <c r="K32" s="175"/>
      <c r="L32" s="175"/>
      <c r="M32" s="175"/>
      <c r="N32" s="175"/>
      <c r="O32" s="175"/>
      <c r="P32" s="176"/>
      <c r="V32" s="63" t="e">
        <f xml:space="preserve"> ROUND(H32, 2-INT(LOG(ABS(H32))))</f>
        <v>#NUM!</v>
      </c>
      <c r="Z32" s="63" t="s">
        <v>209</v>
      </c>
      <c r="AA32" s="63" t="s">
        <v>209</v>
      </c>
      <c r="AC32" s="63" t="s">
        <v>209</v>
      </c>
      <c r="AD32" s="63" t="s">
        <v>209</v>
      </c>
    </row>
    <row r="33" spans="1:37" ht="33.5" customHeight="1" thickTop="1" thickBot="1">
      <c r="A33" s="43"/>
      <c r="B33" s="121" t="s">
        <v>125</v>
      </c>
      <c r="C33" s="122"/>
      <c r="D33" s="122"/>
      <c r="E33" s="122"/>
      <c r="F33" s="123"/>
      <c r="G33" s="67" t="s">
        <v>23</v>
      </c>
      <c r="H33" s="170"/>
      <c r="I33" s="170"/>
      <c r="J33" s="171" t="s">
        <v>121</v>
      </c>
      <c r="K33" s="157"/>
      <c r="L33" s="157"/>
      <c r="M33" s="157"/>
      <c r="N33" s="157"/>
      <c r="O33" s="157"/>
      <c r="P33" s="157"/>
      <c r="V33" s="63" t="e">
        <f xml:space="preserve"> ROUND(H33, 2-INT(LOG(ABS(H33))))</f>
        <v>#NUM!</v>
      </c>
      <c r="Z33" s="63" t="s">
        <v>209</v>
      </c>
      <c r="AA33" s="63" t="s">
        <v>209</v>
      </c>
      <c r="AC33" s="63" t="s">
        <v>209</v>
      </c>
      <c r="AD33" s="63" t="s">
        <v>209</v>
      </c>
    </row>
    <row r="34" spans="1:37" ht="7.5" hidden="1" customHeight="1" thickTop="1">
      <c r="A34" s="43"/>
      <c r="B34" s="54"/>
      <c r="C34" s="54"/>
      <c r="D34" s="54"/>
      <c r="E34" s="54"/>
      <c r="F34" s="54"/>
      <c r="G34" s="54"/>
      <c r="H34" s="44"/>
      <c r="I34" s="45"/>
      <c r="J34" s="54"/>
      <c r="K34" s="54"/>
      <c r="L34" s="54"/>
      <c r="M34" s="54"/>
      <c r="N34" s="54"/>
      <c r="O34" s="54"/>
      <c r="P34" s="54"/>
      <c r="Q34" s="39"/>
      <c r="Y34" s="63" t="s">
        <v>209</v>
      </c>
      <c r="Z34" s="63" t="s">
        <v>209</v>
      </c>
      <c r="AA34" s="63" t="s">
        <v>209</v>
      </c>
      <c r="AB34" s="63" t="s">
        <v>209</v>
      </c>
      <c r="AC34" s="63" t="s">
        <v>209</v>
      </c>
      <c r="AD34" s="63" t="s">
        <v>209</v>
      </c>
    </row>
    <row r="35" spans="1:37" ht="21.5" hidden="1" customHeight="1">
      <c r="A35" s="43"/>
      <c r="B35" s="55" t="s">
        <v>58</v>
      </c>
      <c r="C35" s="55"/>
      <c r="D35" s="55"/>
      <c r="E35" s="55"/>
      <c r="F35" s="55"/>
      <c r="G35" s="55"/>
      <c r="H35" s="55"/>
      <c r="I35" s="55"/>
      <c r="J35" s="55"/>
      <c r="K35" s="55"/>
      <c r="L35" s="55"/>
      <c r="M35" s="55"/>
      <c r="N35" s="55"/>
      <c r="O35" s="55"/>
      <c r="P35" s="56" t="s">
        <v>68</v>
      </c>
      <c r="Q35" s="39"/>
      <c r="Y35" s="63" t="s">
        <v>209</v>
      </c>
      <c r="Z35" s="63" t="s">
        <v>209</v>
      </c>
      <c r="AA35" s="63" t="s">
        <v>209</v>
      </c>
      <c r="AB35" s="63" t="s">
        <v>209</v>
      </c>
      <c r="AC35" s="63" t="s">
        <v>209</v>
      </c>
      <c r="AD35" s="63" t="s">
        <v>209</v>
      </c>
    </row>
    <row r="36" spans="1:37" ht="20.5" hidden="1" customHeight="1">
      <c r="A36" s="43"/>
      <c r="B36" s="115" t="s">
        <v>27</v>
      </c>
      <c r="C36" s="115"/>
      <c r="D36" s="115"/>
      <c r="E36" s="115"/>
      <c r="F36" s="115"/>
      <c r="G36" s="48" t="s">
        <v>59</v>
      </c>
      <c r="H36" s="116" t="s">
        <v>60</v>
      </c>
      <c r="I36" s="116"/>
      <c r="J36" s="115" t="s">
        <v>96</v>
      </c>
      <c r="K36" s="115"/>
      <c r="L36" s="115"/>
      <c r="M36" s="115"/>
      <c r="N36" s="115"/>
      <c r="O36" s="115"/>
      <c r="P36" s="115"/>
      <c r="Q36" s="39"/>
      <c r="Y36" s="63" t="s">
        <v>209</v>
      </c>
      <c r="Z36" s="63" t="s">
        <v>209</v>
      </c>
      <c r="AA36" s="63" t="s">
        <v>209</v>
      </c>
      <c r="AB36" s="63" t="s">
        <v>209</v>
      </c>
      <c r="AC36" s="63" t="s">
        <v>209</v>
      </c>
      <c r="AD36" s="63" t="s">
        <v>209</v>
      </c>
    </row>
    <row r="37" spans="1:37" ht="48.5" hidden="1" customHeight="1">
      <c r="A37" s="43"/>
      <c r="B37" s="111" t="s">
        <v>61</v>
      </c>
      <c r="C37" s="111"/>
      <c r="D37" s="111"/>
      <c r="E37" s="111"/>
      <c r="F37" s="111"/>
      <c r="G37" s="52" t="s">
        <v>0</v>
      </c>
      <c r="H37" s="167" t="e">
        <f>IF($V$18&lt;=0,"",$V$18*IF(OR($H$10=$U$2,$H$10=$U$5),1,$V$21/$V$19)
+IF($H$10&lt;&gt;$U$2,$V$20,0)
+IF(OR($H$10=$U$6,$H$10=$U$7),$V$22,0)
)</f>
        <v>#VALUE!</v>
      </c>
      <c r="I37" s="167"/>
      <c r="J37" s="113" t="e">
        <f>" W' = "&amp;IF(OR($H$10=$U$2,$H$10=$U$5),"","( V1 / V0 ) × ")&amp;"W0"
&amp;IF($H$10&lt;&gt;$U$2," + W1","")
&amp;IF(OR($H$10=$U$6,$H$10=$U$7)," + W2","")
&amp;IF($V$18&lt;=0,"",CHAR(10) &amp; "      = "&amp;IF(OR($H$10=$U$2,$H$10=$U$5),"","("&amp;$V$21&amp;"/"&amp;$V$19&amp;") × ")&amp;$V$18
&amp;IF($H$10&lt;&gt;$U$2," + "&amp;$V$20,"")
&amp;IF(OR($H$10=$U$6,$H$10=$U$7)," + "&amp;$V$22,"")&amp;" = "&amp;$H$37&amp;" "&amp;$G$37)
&amp;CHAR(10)&amp;"※W'は小数点以下2桁で四捨五入する。"</f>
        <v>#VALUE!</v>
      </c>
      <c r="K37" s="114"/>
      <c r="L37" s="114"/>
      <c r="M37" s="114"/>
      <c r="N37" s="114"/>
      <c r="O37" s="114"/>
      <c r="P37" s="114"/>
      <c r="Q37" s="39"/>
      <c r="Y37" s="63" t="s">
        <v>209</v>
      </c>
      <c r="Z37" s="63" t="s">
        <v>209</v>
      </c>
      <c r="AA37" s="63" t="s">
        <v>209</v>
      </c>
      <c r="AB37" s="63" t="s">
        <v>209</v>
      </c>
      <c r="AC37" s="63" t="s">
        <v>209</v>
      </c>
      <c r="AD37" s="63" t="s">
        <v>209</v>
      </c>
    </row>
    <row r="38" spans="1:37" s="40" customFormat="1" ht="7.5" customHeight="1" thickTop="1">
      <c r="B38" s="42"/>
      <c r="C38" s="42"/>
      <c r="D38" s="42"/>
      <c r="E38" s="42"/>
      <c r="F38" s="42"/>
      <c r="G38" s="42"/>
      <c r="H38" s="42"/>
      <c r="I38" s="68"/>
      <c r="J38" s="42"/>
      <c r="K38" s="42"/>
      <c r="L38" s="42"/>
      <c r="M38" s="42"/>
      <c r="N38" s="42"/>
      <c r="O38" s="42"/>
      <c r="P38" s="42"/>
      <c r="S38" s="69"/>
      <c r="T38" s="69"/>
      <c r="U38" s="69"/>
      <c r="V38" s="69"/>
      <c r="W38" s="69"/>
      <c r="X38" s="69"/>
      <c r="Y38" s="69" t="s">
        <v>209</v>
      </c>
      <c r="Z38" s="69" t="s">
        <v>209</v>
      </c>
      <c r="AA38" s="69" t="s">
        <v>209</v>
      </c>
      <c r="AB38" s="69" t="s">
        <v>209</v>
      </c>
      <c r="AC38" s="69" t="s">
        <v>209</v>
      </c>
      <c r="AD38" s="69" t="s">
        <v>209</v>
      </c>
      <c r="AE38" s="69"/>
      <c r="AF38" s="69"/>
      <c r="AG38" s="69"/>
      <c r="AH38" s="69"/>
      <c r="AI38" s="69"/>
      <c r="AJ38" s="69"/>
      <c r="AK38" s="69"/>
    </row>
    <row r="39" spans="1:37" ht="30" customHeight="1">
      <c r="B39" s="70" t="s">
        <v>122</v>
      </c>
      <c r="D39" s="43"/>
      <c r="E39" s="71" t="str">
        <f ca="1">IF(COUNTIF(AE55:AF60,"NG")&gt;0,"NG",IF(COUNTIF(AE55:AF60,"OK")&gt;0,"OK",""))</f>
        <v/>
      </c>
      <c r="F39" s="121" t="s">
        <v>190</v>
      </c>
      <c r="G39" s="122"/>
      <c r="H39" s="122"/>
      <c r="I39" s="122"/>
      <c r="J39" s="122"/>
      <c r="K39" s="122"/>
      <c r="L39" s="122"/>
      <c r="M39" s="122"/>
      <c r="N39" s="122"/>
      <c r="O39" s="122"/>
      <c r="P39" s="123"/>
      <c r="Q39" s="39"/>
      <c r="Y39" s="63" t="s">
        <v>209</v>
      </c>
      <c r="Z39" s="63" t="s">
        <v>209</v>
      </c>
      <c r="AA39" s="63" t="s">
        <v>209</v>
      </c>
      <c r="AB39" s="63" t="s">
        <v>209</v>
      </c>
      <c r="AC39" s="63" t="s">
        <v>209</v>
      </c>
      <c r="AD39" s="63" t="s">
        <v>209</v>
      </c>
    </row>
    <row r="40" spans="1:37" s="44" customFormat="1" ht="8.5" customHeight="1">
      <c r="I40" s="45"/>
      <c r="S40" s="72"/>
      <c r="T40" s="72"/>
      <c r="U40" s="72"/>
      <c r="V40" s="72"/>
      <c r="W40" s="72"/>
      <c r="X40" s="72"/>
      <c r="Y40" s="72" t="s">
        <v>209</v>
      </c>
      <c r="Z40" s="72" t="s">
        <v>209</v>
      </c>
      <c r="AA40" s="72" t="s">
        <v>209</v>
      </c>
      <c r="AB40" s="72" t="s">
        <v>209</v>
      </c>
      <c r="AC40" s="72" t="s">
        <v>209</v>
      </c>
      <c r="AD40" s="72" t="s">
        <v>209</v>
      </c>
      <c r="AE40" s="72"/>
      <c r="AF40" s="72"/>
      <c r="AG40" s="72"/>
      <c r="AH40" s="72"/>
      <c r="AI40" s="72"/>
      <c r="AJ40" s="72"/>
      <c r="AK40" s="72"/>
    </row>
    <row r="41" spans="1:37" ht="46" customHeight="1">
      <c r="E41" s="33"/>
      <c r="I41" s="34"/>
      <c r="Y41" s="63" t="s">
        <v>209</v>
      </c>
      <c r="Z41" s="63" t="s">
        <v>209</v>
      </c>
      <c r="AA41" s="63" t="s">
        <v>209</v>
      </c>
      <c r="AB41" s="63" t="s">
        <v>209</v>
      </c>
      <c r="AC41" s="63" t="s">
        <v>209</v>
      </c>
      <c r="AD41" s="63" t="s">
        <v>209</v>
      </c>
    </row>
    <row r="42" spans="1:37" ht="25.5" customHeight="1">
      <c r="E42" s="33"/>
      <c r="I42" s="34"/>
      <c r="Y42" s="63" t="s">
        <v>209</v>
      </c>
      <c r="Z42" s="63" t="s">
        <v>209</v>
      </c>
      <c r="AA42" s="63" t="s">
        <v>209</v>
      </c>
      <c r="AB42" s="63" t="s">
        <v>209</v>
      </c>
      <c r="AC42" s="63" t="s">
        <v>209</v>
      </c>
      <c r="AD42" s="63" t="s">
        <v>209</v>
      </c>
    </row>
    <row r="43" spans="1:37" ht="25" customHeight="1">
      <c r="E43" s="33"/>
      <c r="I43" s="34"/>
      <c r="Y43" s="63" t="s">
        <v>209</v>
      </c>
      <c r="Z43" s="63" t="s">
        <v>209</v>
      </c>
      <c r="AA43" s="63" t="s">
        <v>209</v>
      </c>
      <c r="AB43" s="63" t="s">
        <v>209</v>
      </c>
      <c r="AC43" s="63" t="s">
        <v>209</v>
      </c>
      <c r="AD43" s="63" t="s">
        <v>209</v>
      </c>
    </row>
    <row r="44" spans="1:37" ht="21.5" customHeight="1">
      <c r="E44" s="33"/>
      <c r="I44" s="34"/>
      <c r="Y44" s="63" t="s">
        <v>209</v>
      </c>
      <c r="Z44" s="63" t="s">
        <v>209</v>
      </c>
      <c r="AA44" s="63" t="s">
        <v>209</v>
      </c>
      <c r="AB44" s="63" t="s">
        <v>209</v>
      </c>
      <c r="AC44" s="63" t="s">
        <v>209</v>
      </c>
      <c r="AD44" s="63" t="s">
        <v>209</v>
      </c>
    </row>
    <row r="45" spans="1:37" ht="7.5" customHeight="1">
      <c r="L45" s="40"/>
      <c r="M45" s="40"/>
      <c r="N45" s="40"/>
      <c r="O45" s="40"/>
      <c r="P45" s="40"/>
      <c r="Y45" s="63" t="s">
        <v>209</v>
      </c>
      <c r="Z45" s="63" t="s">
        <v>209</v>
      </c>
      <c r="AA45" s="63" t="s">
        <v>209</v>
      </c>
      <c r="AB45" s="63" t="s">
        <v>209</v>
      </c>
      <c r="AC45" s="63" t="s">
        <v>209</v>
      </c>
      <c r="AD45" s="63" t="s">
        <v>209</v>
      </c>
    </row>
    <row r="46" spans="1:37" ht="36.5" customHeight="1">
      <c r="B46" s="132" t="s">
        <v>128</v>
      </c>
      <c r="C46" s="133"/>
      <c r="D46" s="133"/>
      <c r="E46" s="133"/>
      <c r="F46" s="133"/>
      <c r="G46" s="133"/>
      <c r="H46" s="133"/>
      <c r="I46" s="133"/>
      <c r="J46" s="134"/>
      <c r="K46" s="38" t="s">
        <v>25</v>
      </c>
      <c r="L46" s="168" t="str">
        <f>IF(L2="","",L2)</f>
        <v/>
      </c>
      <c r="M46" s="168"/>
      <c r="N46" s="168"/>
      <c r="O46" s="168"/>
      <c r="P46" s="168"/>
      <c r="Q46" s="39"/>
      <c r="Y46" s="63" t="s">
        <v>209</v>
      </c>
      <c r="Z46" s="63" t="s">
        <v>209</v>
      </c>
      <c r="AA46" s="63" t="s">
        <v>209</v>
      </c>
      <c r="AB46" s="63" t="s">
        <v>209</v>
      </c>
      <c r="AC46" s="63" t="s">
        <v>209</v>
      </c>
      <c r="AD46" s="63" t="s">
        <v>209</v>
      </c>
    </row>
    <row r="47" spans="1:37" ht="28" customHeight="1">
      <c r="B47" s="138" t="s">
        <v>93</v>
      </c>
      <c r="C47" s="139"/>
      <c r="D47" s="139"/>
      <c r="E47" s="139"/>
      <c r="F47" s="139"/>
      <c r="G47" s="139"/>
      <c r="H47" s="139"/>
      <c r="I47" s="139"/>
      <c r="J47" s="140"/>
      <c r="K47" s="38" t="s">
        <v>24</v>
      </c>
      <c r="L47" s="169" t="str">
        <f>IF(L3="","",L3)</f>
        <v/>
      </c>
      <c r="M47" s="169"/>
      <c r="N47" s="169"/>
      <c r="O47" s="169"/>
      <c r="P47" s="169"/>
      <c r="Q47" s="39"/>
      <c r="Y47" s="63" t="s">
        <v>209</v>
      </c>
      <c r="Z47" s="63" t="s">
        <v>209</v>
      </c>
      <c r="AA47" s="63" t="s">
        <v>209</v>
      </c>
      <c r="AB47" s="63" t="s">
        <v>209</v>
      </c>
      <c r="AC47" s="63" t="s">
        <v>209</v>
      </c>
      <c r="AD47" s="63" t="s">
        <v>209</v>
      </c>
    </row>
    <row r="48" spans="1:37" ht="5" customHeight="1">
      <c r="B48" s="40"/>
      <c r="C48" s="40"/>
      <c r="D48" s="40"/>
      <c r="E48" s="41"/>
      <c r="F48" s="40"/>
      <c r="G48" s="40"/>
      <c r="H48" s="40"/>
      <c r="I48" s="40"/>
      <c r="J48" s="40"/>
      <c r="K48" s="40"/>
      <c r="L48" s="42"/>
      <c r="M48" s="42"/>
      <c r="N48" s="42"/>
      <c r="O48" s="42"/>
      <c r="P48" s="42"/>
      <c r="Y48" s="63" t="s">
        <v>209</v>
      </c>
      <c r="Z48" s="63" t="s">
        <v>209</v>
      </c>
      <c r="AA48" s="63" t="s">
        <v>209</v>
      </c>
      <c r="AB48" s="63" t="s">
        <v>209</v>
      </c>
      <c r="AC48" s="63" t="s">
        <v>209</v>
      </c>
      <c r="AD48" s="63" t="s">
        <v>209</v>
      </c>
    </row>
    <row r="49" spans="1:32" ht="16" customHeight="1">
      <c r="A49" s="43"/>
      <c r="B49" s="142" t="s">
        <v>26</v>
      </c>
      <c r="C49" s="142"/>
      <c r="D49" s="142"/>
      <c r="E49" s="142"/>
      <c r="F49" s="142"/>
      <c r="G49" s="142"/>
      <c r="H49" s="142" t="s">
        <v>63</v>
      </c>
      <c r="I49" s="142"/>
      <c r="J49" s="142"/>
      <c r="K49" s="142"/>
      <c r="L49" s="142"/>
      <c r="M49" s="142"/>
      <c r="N49" s="142"/>
      <c r="O49" s="142"/>
      <c r="P49" s="142"/>
      <c r="Q49" s="39"/>
      <c r="Y49" s="63" t="s">
        <v>209</v>
      </c>
      <c r="Z49" s="63" t="s">
        <v>209</v>
      </c>
      <c r="AA49" s="63" t="s">
        <v>209</v>
      </c>
      <c r="AB49" s="63" t="s">
        <v>209</v>
      </c>
      <c r="AC49" s="63" t="s">
        <v>209</v>
      </c>
      <c r="AD49" s="63" t="s">
        <v>209</v>
      </c>
    </row>
    <row r="50" spans="1:32" ht="25" customHeight="1">
      <c r="A50" s="43"/>
      <c r="B50" s="115" t="str">
        <f>IF(B6="","",B6)</f>
        <v/>
      </c>
      <c r="C50" s="115"/>
      <c r="D50" s="115"/>
      <c r="E50" s="115"/>
      <c r="F50" s="115"/>
      <c r="G50" s="115"/>
      <c r="H50" s="101" t="str">
        <f>IF(H6="","",H6)</f>
        <v/>
      </c>
      <c r="I50" s="101"/>
      <c r="J50" s="101"/>
      <c r="K50" s="101"/>
      <c r="L50" s="101"/>
      <c r="M50" s="101"/>
      <c r="N50" s="101"/>
      <c r="O50" s="101"/>
      <c r="P50" s="101"/>
      <c r="Q50" s="39"/>
      <c r="Y50" s="63" t="s">
        <v>209</v>
      </c>
      <c r="Z50" s="63" t="s">
        <v>209</v>
      </c>
      <c r="AA50" s="63" t="s">
        <v>209</v>
      </c>
      <c r="AB50" s="63" t="s">
        <v>209</v>
      </c>
      <c r="AC50" s="63" t="s">
        <v>209</v>
      </c>
      <c r="AD50" s="63" t="s">
        <v>209</v>
      </c>
    </row>
    <row r="51" spans="1:32" ht="7.5" customHeight="1">
      <c r="B51" s="44"/>
      <c r="C51" s="44"/>
      <c r="D51" s="44"/>
      <c r="E51" s="45"/>
      <c r="F51" s="44"/>
      <c r="G51" s="44"/>
      <c r="H51" s="44"/>
      <c r="I51" s="44"/>
      <c r="J51" s="44"/>
      <c r="K51" s="44"/>
      <c r="L51" s="44"/>
      <c r="M51" s="44"/>
      <c r="N51" s="44"/>
      <c r="O51" s="44"/>
      <c r="P51" s="44"/>
      <c r="Y51" s="63" t="s">
        <v>209</v>
      </c>
      <c r="Z51" s="63" t="s">
        <v>209</v>
      </c>
      <c r="AA51" s="63" t="s">
        <v>209</v>
      </c>
      <c r="AB51" s="63" t="s">
        <v>209</v>
      </c>
      <c r="AC51" s="63" t="s">
        <v>209</v>
      </c>
      <c r="AD51" s="63" t="s">
        <v>209</v>
      </c>
    </row>
    <row r="52" spans="1:32" ht="15.65" customHeight="1">
      <c r="B52" s="73" t="s">
        <v>62</v>
      </c>
      <c r="C52" s="40"/>
      <c r="D52" s="40"/>
      <c r="E52" s="40"/>
      <c r="F52" s="40"/>
      <c r="G52" s="40"/>
      <c r="H52" s="40"/>
      <c r="I52" s="41"/>
      <c r="J52" s="40"/>
      <c r="K52" s="40"/>
      <c r="L52" s="40"/>
      <c r="M52" s="40"/>
      <c r="N52" s="40"/>
      <c r="O52" s="40"/>
      <c r="P52" s="74" t="s">
        <v>191</v>
      </c>
      <c r="Y52" s="63" t="s">
        <v>209</v>
      </c>
      <c r="Z52" s="63" t="s">
        <v>209</v>
      </c>
      <c r="AA52" s="63" t="s">
        <v>209</v>
      </c>
      <c r="AB52" s="63" t="s">
        <v>209</v>
      </c>
      <c r="AC52" s="63" t="s">
        <v>209</v>
      </c>
      <c r="AD52" s="63" t="s">
        <v>209</v>
      </c>
    </row>
    <row r="53" spans="1:32" ht="17.5" customHeight="1">
      <c r="A53" s="43"/>
      <c r="B53" s="159" t="s">
        <v>27</v>
      </c>
      <c r="C53" s="160"/>
      <c r="D53" s="160"/>
      <c r="E53" s="160"/>
      <c r="F53" s="160"/>
      <c r="G53" s="161"/>
      <c r="H53" s="165" t="s">
        <v>95</v>
      </c>
      <c r="I53" s="166"/>
      <c r="J53" s="159" t="s">
        <v>101</v>
      </c>
      <c r="K53" s="160"/>
      <c r="L53" s="160"/>
      <c r="M53" s="160"/>
      <c r="N53" s="160"/>
      <c r="O53" s="160"/>
      <c r="P53" s="161"/>
      <c r="Q53" s="39"/>
      <c r="Y53" s="63" t="s">
        <v>209</v>
      </c>
      <c r="Z53" s="63" t="s">
        <v>209</v>
      </c>
      <c r="AA53" s="63" t="s">
        <v>209</v>
      </c>
      <c r="AB53" s="63" t="s">
        <v>209</v>
      </c>
      <c r="AC53" s="63" t="s">
        <v>209</v>
      </c>
      <c r="AD53" s="63" t="s">
        <v>209</v>
      </c>
    </row>
    <row r="54" spans="1:32" ht="17.5" customHeight="1">
      <c r="A54" s="43"/>
      <c r="B54" s="162"/>
      <c r="C54" s="163"/>
      <c r="D54" s="163"/>
      <c r="E54" s="163"/>
      <c r="F54" s="163"/>
      <c r="G54" s="164"/>
      <c r="H54" s="65" t="s">
        <v>7</v>
      </c>
      <c r="I54" s="65" t="s">
        <v>6</v>
      </c>
      <c r="J54" s="162"/>
      <c r="K54" s="163"/>
      <c r="L54" s="163"/>
      <c r="M54" s="163"/>
      <c r="N54" s="163"/>
      <c r="O54" s="163"/>
      <c r="P54" s="164"/>
      <c r="Q54" s="39"/>
      <c r="Y54" s="63" t="s">
        <v>209</v>
      </c>
      <c r="Z54" s="63" t="s">
        <v>209</v>
      </c>
      <c r="AA54" s="63" t="s">
        <v>209</v>
      </c>
      <c r="AB54" s="63" t="s">
        <v>209</v>
      </c>
      <c r="AC54" s="63" t="s">
        <v>209</v>
      </c>
      <c r="AD54" s="63" t="s">
        <v>209</v>
      </c>
    </row>
    <row r="55" spans="1:32" ht="30.5" customHeight="1">
      <c r="A55" s="43"/>
      <c r="B55" s="125" t="s">
        <v>65</v>
      </c>
      <c r="C55" s="126"/>
      <c r="D55" s="126"/>
      <c r="E55" s="126"/>
      <c r="F55" s="126"/>
      <c r="G55" s="127"/>
      <c r="H55" s="158" t="str">
        <f ca="1">IF(ISNA($V$55),"",
IF(INDIRECT(ADDRESS(ROW(H55),$V$55))="○",
IF(OR(H11&lt;=0,H69=""),"",IF(H11&gt;=H69,"OK","NG")),"OK")
)</f>
        <v/>
      </c>
      <c r="I55" s="158"/>
      <c r="J55" s="101" t="str">
        <f>IF(OR(H11&lt;=0,H69=""),"",
IF($V$11&gt;=$H$69," Vw=" &amp; $V$11 &amp;" " &amp; $G$69  &amp; " ≧ Vmax＝" &amp;$H$69 &amp;" " &amp; $G$69  &amp; " → OK"," Vw=" &amp; $V$11 &amp;" " &amp; $G$69  &amp; " &lt; Vmax＝" &amp;$H$69  &amp;" " &amp; $G$69 &amp; " → NG")
)</f>
        <v/>
      </c>
      <c r="K55" s="101"/>
      <c r="L55" s="101"/>
      <c r="M55" s="101"/>
      <c r="N55" s="101"/>
      <c r="O55" s="101"/>
      <c r="P55" s="101"/>
      <c r="Q55" s="39"/>
      <c r="V55" s="63" t="e">
        <f>MATCH($H$10,$Y$12:$AD$12,0)+COLUMN($Y$12)-1</f>
        <v>#N/A</v>
      </c>
      <c r="Y55" s="63" t="s">
        <v>209</v>
      </c>
      <c r="AB55" s="63" t="s">
        <v>209</v>
      </c>
      <c r="AE55" s="63" t="str">
        <f t="shared" ref="AE55:AE60" ca="1" si="3">H55</f>
        <v/>
      </c>
    </row>
    <row r="56" spans="1:32" ht="30.5" customHeight="1">
      <c r="A56" s="43"/>
      <c r="B56" s="114" t="s">
        <v>64</v>
      </c>
      <c r="C56" s="114"/>
      <c r="D56" s="114"/>
      <c r="E56" s="114"/>
      <c r="F56" s="114"/>
      <c r="G56" s="114"/>
      <c r="H56" s="71" t="str">
        <f ca="1">IF(ISNA($V$55),"",
IF(INDIRECT(ADDRESS(ROW(H56),$V$55))="○",
IF(OR(H73="",H72=""),"",
IF(H73&gt;=H72,"OK","NG")),"OK"))</f>
        <v/>
      </c>
      <c r="I56" s="71" t="str">
        <f ca="1">IF(ISNA($V$55),"",
IF(INDIRECT(ADDRESS(ROW(I56),$V$55))="○",
IF(OR(I73="",I72=""),"",
IF(I73&gt;=I72,"OK","NG")),"OK"))</f>
        <v/>
      </c>
      <c r="J56" s="114" t="str">
        <f ca="1">IF(OR($H$56="",$I$56=""),"",
" Ms,h = " &amp; $H$73 &amp; $G$73 &amp; IF($H$73&gt;=$H$72," ≧ "," ＜ ") &amp; "Mwt,h = " &amp; $H$72 &amp; $G$72 &amp; IF($H$73&gt;=$H$72," → OK"," → NG")  &amp;CHAR(10)
&amp; " Ms,c = " &amp; $I$73 &amp; $G$73 &amp; IF($I$73&gt;=$I$72," ≧ "," ＜ ") &amp; "Mwt,c = " &amp;  $I$72 &amp; $G$72 &amp; IF($I$73&gt;=$I$72," → OK"," → NG"))</f>
        <v/>
      </c>
      <c r="K56" s="114"/>
      <c r="L56" s="114"/>
      <c r="M56" s="114"/>
      <c r="N56" s="114"/>
      <c r="O56" s="114"/>
      <c r="P56" s="114"/>
      <c r="Q56" s="39"/>
      <c r="Z56" s="63" t="s">
        <v>209</v>
      </c>
      <c r="AC56" s="63" t="s">
        <v>209</v>
      </c>
      <c r="AE56" s="63" t="str">
        <f t="shared" ca="1" si="3"/>
        <v/>
      </c>
      <c r="AF56" s="63" t="str">
        <f ca="1">I56</f>
        <v/>
      </c>
    </row>
    <row r="57" spans="1:32" ht="30.5" customHeight="1">
      <c r="A57" s="43"/>
      <c r="B57" s="114" t="s">
        <v>67</v>
      </c>
      <c r="C57" s="114"/>
      <c r="D57" s="114"/>
      <c r="E57" s="114"/>
      <c r="F57" s="114"/>
      <c r="G57" s="114"/>
      <c r="H57" s="71" t="str">
        <f ca="1">IF(ISNA($V$55),"",
IF(INDIRECT(ADDRESS(ROW(H57),$V$55))="○",
IF(OR(H29="",H72=""),"",
IF(H29&gt;=H72,"OK","NG")),"OK"))</f>
        <v/>
      </c>
      <c r="I57" s="71" t="str">
        <f ca="1">IF(ISNA($V$55),"",
IF(INDIRECT(ADDRESS(ROW(I57),$V$55))="○",
IF(OR(H29="",I72=""),"",
IF(H29&gt;=I72,"OK","NG")),"OK"))</f>
        <v/>
      </c>
      <c r="J57" s="114" t="str">
        <f ca="1">IF(OR($H$57="",$I$57=""),"",
 " Mwt = " &amp; $V$29 &amp; " " &amp; $G$29 &amp; IF($V$29&gt;=$H$72," ≧ "," ＜ ") &amp; "Mwt,h = " &amp; $H$72 &amp; " " &amp; $G$72 &amp; IF($V$29&gt;=$H$72," → OK"," → NG")  &amp;CHAR(10)
&amp; " Mwt = " &amp; $V$29 &amp; " " &amp; $G$29 &amp; IF($V$29&gt;=$I$72," ≧ "," ＜ ") &amp; "Mwt,c = " &amp; $I$72 &amp; " " &amp; $G$72 &amp; IF($V$29&gt;=$I$72," → OK"," → NG"))</f>
        <v/>
      </c>
      <c r="K57" s="114"/>
      <c r="L57" s="114"/>
      <c r="M57" s="114"/>
      <c r="N57" s="114"/>
      <c r="O57" s="114"/>
      <c r="P57" s="114"/>
      <c r="Q57" s="39"/>
      <c r="Z57" s="63" t="s">
        <v>209</v>
      </c>
      <c r="AC57" s="63" t="s">
        <v>209</v>
      </c>
      <c r="AE57" s="63" t="str">
        <f t="shared" ca="1" si="3"/>
        <v/>
      </c>
      <c r="AF57" s="63" t="str">
        <f ca="1">I57</f>
        <v/>
      </c>
    </row>
    <row r="58" spans="1:32" ht="30.5" customHeight="1">
      <c r="A58" s="43"/>
      <c r="B58" s="114" t="s">
        <v>66</v>
      </c>
      <c r="C58" s="114"/>
      <c r="D58" s="114"/>
      <c r="E58" s="114"/>
      <c r="F58" s="114"/>
      <c r="G58" s="114"/>
      <c r="H58" s="71" t="str">
        <f ca="1">IF(ISNA($V$55),"",
IF(INDIRECT(ADDRESS(ROW(H58),$V$55))="○",
IF(H75="","",IF(AND(1&lt;=H75,H75&lt;=2),"OK","NG")),"OK"))</f>
        <v/>
      </c>
      <c r="I58" s="71" t="str">
        <f ca="1">IF(ISNA($V$55),"",
IF(INDIRECT(ADDRESS(ROW(I58),$V$55))="○",
IF(I75="","",IF(AND(1&lt;=I75,I75&lt;=2),"OK","NG")),"OK"))</f>
        <v/>
      </c>
      <c r="J58" s="114" t="str">
        <f>IF(OR($H$75="",$I$75=""),"",
 IF($H$75&gt;2," nh = " &amp; $H$75 &amp; " &gt; 2  → NG",IF($H$75&lt;=1," nh = " &amp; $H$75 &amp; " ≦ 1  → NG"," 1 ＜ nh = " &amp; $H$75 &amp; " ≦ 2  → OK"))  &amp;CHAR(10)
&amp; IF($I$75&gt;2," nc = " &amp; $I$75 &amp; " &gt; 2  → NG",IF($I$75&lt;=1," nc = " &amp; $I$75 &amp; " ≦ 1  → NG"," 1 ＜ nc = " &amp; $I$75 &amp; " ≦ 2  → OK")))</f>
        <v/>
      </c>
      <c r="K58" s="114"/>
      <c r="L58" s="114"/>
      <c r="M58" s="114"/>
      <c r="N58" s="114"/>
      <c r="O58" s="114"/>
      <c r="P58" s="114"/>
      <c r="Q58" s="39"/>
      <c r="AA58" s="63" t="s">
        <v>209</v>
      </c>
      <c r="AD58" s="63" t="s">
        <v>209</v>
      </c>
      <c r="AE58" s="63" t="str">
        <f t="shared" ca="1" si="3"/>
        <v/>
      </c>
      <c r="AF58" s="63" t="str">
        <f ca="1">I58</f>
        <v/>
      </c>
    </row>
    <row r="59" spans="1:32" ht="30.5" customHeight="1">
      <c r="A59" s="43"/>
      <c r="B59" s="157" t="s">
        <v>220</v>
      </c>
      <c r="C59" s="114"/>
      <c r="D59" s="114"/>
      <c r="E59" s="114"/>
      <c r="F59" s="114"/>
      <c r="G59" s="114"/>
      <c r="H59" s="158" t="str">
        <f ca="1">IF(ISNA($V$55),"",
IF(INDIRECT(ADDRESS(ROW(H59),$V$55))="○",
IF($H$77="","",
IF($H$77&gt;=1.1,"OK","NG")),"OK"))</f>
        <v/>
      </c>
      <c r="I59" s="158"/>
      <c r="J59" s="101" t="str">
        <f ca="1">IF($H$59="","", " Rins = " &amp; $H$77 &amp; IF($H$77&gt;=1.1," ≧ 1.1 "," ＜ 1.1 ") &amp; $G$77 &amp; IF($H$77&gt;=1.1,"  → OK","  → NG"))</f>
        <v/>
      </c>
      <c r="K59" s="101"/>
      <c r="L59" s="101"/>
      <c r="M59" s="101"/>
      <c r="N59" s="101"/>
      <c r="O59" s="101"/>
      <c r="P59" s="101"/>
      <c r="Q59" s="39"/>
      <c r="Z59" s="63" t="s">
        <v>209</v>
      </c>
      <c r="AA59" s="63" t="s">
        <v>209</v>
      </c>
      <c r="AC59" s="63" t="s">
        <v>209</v>
      </c>
      <c r="AD59" s="63" t="s">
        <v>209</v>
      </c>
      <c r="AE59" s="63" t="str">
        <f t="shared" ca="1" si="3"/>
        <v/>
      </c>
    </row>
    <row r="60" spans="1:32" ht="30.5" customHeight="1">
      <c r="A60" s="43"/>
      <c r="B60" s="157" t="s">
        <v>78</v>
      </c>
      <c r="C60" s="114"/>
      <c r="D60" s="114"/>
      <c r="E60" s="114"/>
      <c r="F60" s="114"/>
      <c r="G60" s="114"/>
      <c r="H60" s="75" t="str">
        <f ca="1">IF(ISNA($V$55),"",
IF(INDIRECT(ADDRESS(ROW(H60),$V$55))="○",
IF($H$79="","",IF($H$79&lt;=$V$60,"OK","NG")),"OK"))</f>
        <v/>
      </c>
      <c r="I60" s="75" t="str">
        <f ca="1">IF(ISNA($V$55),"",
IF(INDIRECT(ADDRESS(ROW(I60),$V$55))="○",
IF($I$79="","",IF($I$79&lt;=$W$60,"OK","NG")),"OK"))</f>
        <v/>
      </c>
      <c r="J60" s="114" t="str">
        <f ca="1">IF(OR($H$60="",$I$60=""),""," ΔTm,h = " &amp; $H$79 &amp; " [℃]" &amp; IF($H$79&lt;=$V$60," ≦ "," ＞ ") &amp; $V$60 &amp; " [℃]  → " &amp; IF($H$79&lt;=$V$60,"OK","NG")  &amp;CHAR(10)
&amp;" ΔTm,c = " &amp; $I$79 &amp; " [℃]" &amp; IF($I$79&lt;=$W$60," ≦ "," ＞ ") &amp; $W$60 &amp; " [℃]  → " &amp; IF($I$79&lt;=$W$60,"OK","NG"))</f>
        <v/>
      </c>
      <c r="K60" s="114"/>
      <c r="L60" s="114"/>
      <c r="M60" s="114"/>
      <c r="N60" s="114"/>
      <c r="O60" s="114"/>
      <c r="P60" s="114"/>
      <c r="Q60" s="39"/>
      <c r="V60" s="63">
        <v>6</v>
      </c>
      <c r="W60" s="63">
        <v>9</v>
      </c>
      <c r="AB60" s="63" t="s">
        <v>209</v>
      </c>
      <c r="AC60" s="63" t="s">
        <v>209</v>
      </c>
      <c r="AD60" s="63" t="s">
        <v>209</v>
      </c>
      <c r="AE60" s="63" t="str">
        <f t="shared" ca="1" si="3"/>
        <v/>
      </c>
      <c r="AF60" s="63" t="str">
        <f ca="1">I60</f>
        <v/>
      </c>
    </row>
    <row r="61" spans="1:32" ht="30.5" hidden="1" customHeight="1">
      <c r="A61" s="43"/>
      <c r="B61" s="151" t="s">
        <v>105</v>
      </c>
      <c r="C61" s="148"/>
      <c r="D61" s="148"/>
      <c r="E61" s="148"/>
      <c r="F61" s="148"/>
      <c r="G61" s="148"/>
      <c r="H61" s="152" t="str">
        <f>IF(OR(H80="",I80="",H80=0,I80=0),"",
IF(AND(0.9&lt;=I80/H80,I80/H80&lt;=1.1),"OK","NG"))</f>
        <v/>
      </c>
      <c r="I61" s="152"/>
      <c r="J61" s="153" t="str">
        <f xml:space="preserve"> IF($H$61="","",
IF(AND(0.9&lt;=I80/H80,I80/H80&lt;=1.1)," 0.9 ≦ ","")
&amp; " Uc / Uh = " &amp; $I$80 &amp; " / " &amp; $H$80 &amp; " = " &amp; ROUND(I80/H80,3) &amp; IF(I80/H80&lt;0.9," ＜ 0.9  → NG", IF(I80/H80&gt;1.1," ＞ 1.1  → NG"," ≦ 1.1  → OK")))</f>
        <v/>
      </c>
      <c r="K61" s="153"/>
      <c r="L61" s="153"/>
      <c r="M61" s="153"/>
      <c r="N61" s="153"/>
      <c r="O61" s="153"/>
      <c r="P61" s="153"/>
      <c r="Q61" s="39"/>
      <c r="T61" s="63" t="str">
        <f>H61</f>
        <v/>
      </c>
      <c r="AB61" s="63" t="s">
        <v>209</v>
      </c>
      <c r="AC61" s="63" t="s">
        <v>209</v>
      </c>
      <c r="AD61" s="63" t="s">
        <v>209</v>
      </c>
    </row>
    <row r="62" spans="1:32" ht="10" customHeight="1">
      <c r="E62" s="33"/>
      <c r="I62" s="34"/>
      <c r="J62" s="34"/>
      <c r="Y62" s="63" t="s">
        <v>209</v>
      </c>
      <c r="Z62" s="63" t="s">
        <v>209</v>
      </c>
      <c r="AA62" s="63" t="s">
        <v>209</v>
      </c>
      <c r="AB62" s="63" t="s">
        <v>209</v>
      </c>
      <c r="AC62" s="63" t="s">
        <v>209</v>
      </c>
      <c r="AD62" s="63" t="s">
        <v>209</v>
      </c>
    </row>
    <row r="63" spans="1:32" ht="15.65" customHeight="1">
      <c r="B63" s="40" t="s">
        <v>10</v>
      </c>
      <c r="C63" s="40"/>
      <c r="D63" s="40"/>
      <c r="E63" s="40"/>
      <c r="F63" s="154" t="s">
        <v>94</v>
      </c>
      <c r="G63" s="155"/>
      <c r="H63" s="155"/>
      <c r="I63" s="155"/>
      <c r="J63" s="155"/>
      <c r="K63" s="155"/>
      <c r="L63" s="155"/>
      <c r="M63" s="155"/>
      <c r="N63" s="155"/>
      <c r="O63" s="155"/>
      <c r="P63" s="156"/>
      <c r="Y63" s="63" t="s">
        <v>209</v>
      </c>
      <c r="Z63" s="63" t="s">
        <v>209</v>
      </c>
      <c r="AA63" s="63" t="s">
        <v>209</v>
      </c>
      <c r="AB63" s="63" t="s">
        <v>209</v>
      </c>
      <c r="AC63" s="63" t="s">
        <v>209</v>
      </c>
      <c r="AD63" s="63" t="s">
        <v>209</v>
      </c>
    </row>
    <row r="64" spans="1:32" ht="26.5" customHeight="1">
      <c r="A64" s="43"/>
      <c r="B64" s="115" t="s">
        <v>27</v>
      </c>
      <c r="C64" s="115"/>
      <c r="D64" s="115"/>
      <c r="E64" s="115"/>
      <c r="F64" s="115"/>
      <c r="G64" s="48" t="s">
        <v>59</v>
      </c>
      <c r="H64" s="116" t="s">
        <v>60</v>
      </c>
      <c r="I64" s="116"/>
      <c r="J64" s="115" t="s">
        <v>102</v>
      </c>
      <c r="K64" s="115"/>
      <c r="L64" s="115"/>
      <c r="M64" s="115"/>
      <c r="N64" s="115"/>
      <c r="O64" s="115"/>
      <c r="P64" s="115"/>
      <c r="Y64" s="63" t="s">
        <v>209</v>
      </c>
      <c r="Z64" s="63" t="s">
        <v>209</v>
      </c>
      <c r="AA64" s="63" t="s">
        <v>209</v>
      </c>
      <c r="AB64" s="63" t="s">
        <v>209</v>
      </c>
      <c r="AC64" s="63" t="s">
        <v>209</v>
      </c>
      <c r="AD64" s="63" t="s">
        <v>209</v>
      </c>
    </row>
    <row r="65" spans="1:30" ht="27" customHeight="1">
      <c r="A65" s="43"/>
      <c r="B65" s="125" t="s">
        <v>11</v>
      </c>
      <c r="C65" s="126"/>
      <c r="D65" s="126"/>
      <c r="E65" s="126"/>
      <c r="F65" s="126"/>
      <c r="G65" s="127"/>
      <c r="H65" s="76" t="s">
        <v>7</v>
      </c>
      <c r="I65" s="76" t="s">
        <v>6</v>
      </c>
      <c r="J65" s="115" t="s">
        <v>69</v>
      </c>
      <c r="K65" s="115"/>
      <c r="L65" s="115"/>
      <c r="M65" s="115"/>
      <c r="N65" s="115"/>
      <c r="O65" s="115"/>
      <c r="P65" s="115"/>
      <c r="Y65" s="63" t="s">
        <v>209</v>
      </c>
      <c r="Z65" s="63" t="s">
        <v>209</v>
      </c>
      <c r="AA65" s="63" t="s">
        <v>209</v>
      </c>
      <c r="AB65" s="63" t="s">
        <v>209</v>
      </c>
      <c r="AC65" s="63" t="s">
        <v>209</v>
      </c>
      <c r="AD65" s="63" t="s">
        <v>209</v>
      </c>
    </row>
    <row r="66" spans="1:30" ht="47" customHeight="1">
      <c r="A66" s="43"/>
      <c r="B66" s="111" t="s">
        <v>70</v>
      </c>
      <c r="C66" s="111"/>
      <c r="D66" s="111"/>
      <c r="E66" s="111"/>
      <c r="F66" s="111"/>
      <c r="G66" s="77" t="s">
        <v>8</v>
      </c>
      <c r="H66" s="78" t="str">
        <f>IF(ISNA(V66),"",
IF(MATCH($H$10,$U$2:$U$7,0)&lt;=3,IF(OR(H16="",H15="",H16-H15=0),"",V66),IF(OR(H25="",H24="",H25-H24=0),"",V66))
)</f>
        <v/>
      </c>
      <c r="I66" s="78" t="str">
        <f>IF(ISNA(W66),"",
IF(MATCH($H$10,$U$2:$U$7,0)&lt;=3,IF(OR(I16="",I15="",I16-I15=0),"",W66),IF(OR(I25="",I24="",I25-I24=0),"",W66))
)</f>
        <v/>
      </c>
      <c r="J66" s="114" t="str">
        <f>IF($H$10="","",
IF(MATCH($H$10,$U$2:$U$7,0)&lt;=3, " ΔTh = Ti,h - To,h"," ΔTh = T1i,h - T1o,h")
&amp; IF(H66="","",IF(MATCH($H$10,$U$2:$U$7,0)&lt;=3, " = " &amp; V15 &amp;" - " &amp; V16," = " &amp; V24 &amp;" - " &amp; V25) &amp; " = " &amp; $H$66 &amp; " " &amp; $G$66) &amp;CHAR(10)
&amp; IF(MATCH($H$10,$U$2:$U$7,0)&lt;=3, " ΔTc = To,c - Ti,c"," ΔTc = Toi,c - T1i,c")
&amp; IF(I66="","",IF(MATCH($H$10,$U$2:$U$7,0)&lt;=3, " = " &amp; W16 &amp;" - " &amp; W15," = " &amp; W25 &amp;" - " &amp; W24) &amp; " = " &amp; $I$66 &amp; " " &amp; $G$66) &amp;CHAR(10))
&amp; "※計算値は小数点以下2桁を四捨五入する。"</f>
        <v>※計算値は小数点以下2桁を四捨五入する。</v>
      </c>
      <c r="K66" s="114"/>
      <c r="L66" s="114"/>
      <c r="M66" s="114"/>
      <c r="N66" s="114"/>
      <c r="O66" s="114"/>
      <c r="P66" s="114"/>
      <c r="Q66" s="39"/>
      <c r="V66" s="63" t="e">
        <f>IF(MATCH($H$10,$U$2:$U$7,0)&lt;=3,V16-V15,V25-V24)*Y11</f>
        <v>#N/A</v>
      </c>
      <c r="W66" s="63" t="e">
        <f>IF(MATCH($H$10,$U$2:$U$7,0)&lt;=3,W16-W15,W25-W24)*Z11</f>
        <v>#N/A</v>
      </c>
      <c r="Y66" s="63" t="s">
        <v>209</v>
      </c>
      <c r="Z66" s="63" t="s">
        <v>209</v>
      </c>
      <c r="AA66" s="63" t="s">
        <v>209</v>
      </c>
      <c r="AB66" s="63" t="s">
        <v>209</v>
      </c>
      <c r="AC66" s="63" t="s">
        <v>209</v>
      </c>
      <c r="AD66" s="63" t="s">
        <v>209</v>
      </c>
    </row>
    <row r="67" spans="1:30" ht="47" customHeight="1">
      <c r="A67" s="43"/>
      <c r="B67" s="111" t="s">
        <v>71</v>
      </c>
      <c r="C67" s="111"/>
      <c r="D67" s="111"/>
      <c r="E67" s="111"/>
      <c r="F67" s="111"/>
      <c r="G67" s="77" t="s">
        <v>0</v>
      </c>
      <c r="H67" s="79" t="str">
        <f xml:space="preserve"> IF(OR(H13="",H14=""),"",ROUND(V67, 1))</f>
        <v/>
      </c>
      <c r="I67" s="79" t="str">
        <f xml:space="preserve"> IF(OR(I13="",I14=""),"",ROUND(W67, 1))</f>
        <v/>
      </c>
      <c r="J67" s="114" t="str">
        <f xml:space="preserve"> IF(H67="","", " Qh - Wh = " &amp; $V$13 &amp; " - " &amp; $V$14 &amp; " = " &amp; $H$67 &amp; " " &amp; $G$67  &amp;CHAR(10))
&amp; IF(I67="",""," Qc + Wc = " &amp; $W$13 &amp; " + " &amp; $W$14 &amp; " = " &amp; $I$67 &amp; " " &amp; $G$67  &amp;CHAR(10))
&amp; "※計算値は小数点以下2桁を四捨五入する。"</f>
        <v>※計算値は小数点以下2桁を四捨五入する。</v>
      </c>
      <c r="K67" s="114"/>
      <c r="L67" s="114"/>
      <c r="M67" s="114"/>
      <c r="N67" s="114"/>
      <c r="O67" s="114"/>
      <c r="P67" s="114"/>
      <c r="Q67" s="39"/>
      <c r="V67" s="63">
        <f>H13+H14*Y11</f>
        <v>0</v>
      </c>
      <c r="W67" s="63">
        <f>I13+I14*Z11</f>
        <v>0</v>
      </c>
      <c r="Y67" s="63" t="s">
        <v>209</v>
      </c>
      <c r="Z67" s="63" t="s">
        <v>209</v>
      </c>
      <c r="AA67" s="63" t="s">
        <v>209</v>
      </c>
      <c r="AB67" s="63" t="s">
        <v>209</v>
      </c>
      <c r="AC67" s="63" t="s">
        <v>209</v>
      </c>
      <c r="AD67" s="63" t="s">
        <v>209</v>
      </c>
    </row>
    <row r="68" spans="1:30" ht="56" customHeight="1">
      <c r="A68" s="43"/>
      <c r="B68" s="111" t="s">
        <v>76</v>
      </c>
      <c r="C68" s="111"/>
      <c r="D68" s="111"/>
      <c r="E68" s="111"/>
      <c r="F68" s="111"/>
      <c r="G68" s="77" t="str">
        <f>$G$11</f>
        <v>[L/min]</v>
      </c>
      <c r="H68" s="79" t="str">
        <f xml:space="preserve"> IF(OR(H13="",H14="",H66=""),"",
ROUND(V68, 2-INT(LOG(ABS(V68)))))</f>
        <v/>
      </c>
      <c r="I68" s="79" t="str">
        <f xml:space="preserve"> IF(OR(I13="",I14="",I66=""),"",
ROUND(W68, 2-INT(LOG(ABS(W68)))))</f>
        <v/>
      </c>
      <c r="J68" s="146" t="str">
        <f ca="1">" Vh = (Qh - Wh) / (cρΔTh)"
&amp;IF(H68="",""," = "&amp;$H$67&amp;" / (4.19 × 1000 × "&amp;$H$66&amp;")× "
&amp;INDIRECT(ADDRESS(ROW($AB$1)+MATCH($G68,$AA$2:$AA$4,0),COLUMN($AB$1)))&amp;" = "&amp;$H$68&amp;" "&amp;$G$68)
&amp;CHAR(10)
&amp;" Vc = (Qc + Wc) / (cρΔTc)"
&amp;IF(I68="",""," = "&amp;$I$67&amp;" / (4.19 × 1000 × "&amp;$I$66&amp;")× "
&amp;INDIRECT(ADDRESS(ROW($AB$1)+MATCH($G68,$AA$2:$AA$4,0),COLUMN($AB$1)))&amp;" = "&amp;$I$68&amp;" "&amp;$G$68)
&amp;CHAR(10)
&amp;"※計算値は有効桁数4桁を四捨五入する。"
&amp;IF(AND(H68="",I68=""),"",CHAR(10) &amp; "※式中の数値「1000」「"&amp;INDIRECT(ADDRESS(ROW($AB$1)+MATCH($G68,$AA$2:$AA$4,0),COLUMN($AB$1)))&amp;"」は単位変換に用いる係数である。")</f>
        <v xml:space="preserve"> Vh = (Qh - Wh) / (cρΔTh)
 Vc = (Qc + Wc) / (cρΔTc)
※計算値は有効桁数4桁を四捨五入する。</v>
      </c>
      <c r="K68" s="146"/>
      <c r="L68" s="146"/>
      <c r="M68" s="146"/>
      <c r="N68" s="146"/>
      <c r="O68" s="146"/>
      <c r="P68" s="146"/>
      <c r="Q68" s="39"/>
      <c r="V68" s="63" t="e">
        <f ca="1">(H13+H14*Y11)/(4.19*1000*H66)*INDIRECT(ADDRESS(ROW($AB$1)+MATCH($G68,$AA$2:$AA$4,0),COLUMN($AB$1)))</f>
        <v>#VALUE!</v>
      </c>
      <c r="W68" s="63" t="e">
        <f ca="1">(I13+I14*Z11)/(4.19*1000*I66)*INDIRECT(ADDRESS(ROW($AB$1)+MATCH($G68,$AA$2:$AA$4,0),COLUMN($AB$1)))</f>
        <v>#VALUE!</v>
      </c>
      <c r="Y68" s="63" t="s">
        <v>209</v>
      </c>
      <c r="Z68" s="63" t="s">
        <v>209</v>
      </c>
      <c r="AA68" s="63" t="s">
        <v>209</v>
      </c>
      <c r="AB68" s="63" t="s">
        <v>209</v>
      </c>
      <c r="AC68" s="63" t="s">
        <v>209</v>
      </c>
      <c r="AD68" s="63" t="s">
        <v>209</v>
      </c>
    </row>
    <row r="69" spans="1:30" ht="30.5" customHeight="1">
      <c r="A69" s="43"/>
      <c r="B69" s="115" t="s">
        <v>75</v>
      </c>
      <c r="C69" s="115"/>
      <c r="D69" s="115"/>
      <c r="E69" s="115"/>
      <c r="F69" s="115"/>
      <c r="G69" s="77" t="str">
        <f>$G$11</f>
        <v>[L/min]</v>
      </c>
      <c r="H69" s="150" t="str">
        <f>IF(AND(I68="",H68=""),"",
MAX(I68,H68))</f>
        <v/>
      </c>
      <c r="I69" s="150"/>
      <c r="J69" s="101" t="str">
        <f xml:space="preserve"> " Vmax = MAX[Vh, Vc]" &amp; IF(H69="",""," = " &amp; $H$69 &amp;" " &amp;$G$69)</f>
        <v xml:space="preserve"> Vmax = MAX[Vh, Vc]</v>
      </c>
      <c r="K69" s="101"/>
      <c r="L69" s="101"/>
      <c r="M69" s="101"/>
      <c r="N69" s="101"/>
      <c r="O69" s="101"/>
      <c r="P69" s="101"/>
      <c r="Q69" s="39"/>
      <c r="Y69" s="63" t="s">
        <v>209</v>
      </c>
      <c r="Z69" s="63" t="s">
        <v>209</v>
      </c>
      <c r="AA69" s="63" t="s">
        <v>209</v>
      </c>
      <c r="AB69" s="63" t="s">
        <v>209</v>
      </c>
      <c r="AC69" s="63" t="s">
        <v>209</v>
      </c>
      <c r="AD69" s="63" t="s">
        <v>209</v>
      </c>
    </row>
    <row r="70" spans="1:30" ht="27.5" customHeight="1">
      <c r="A70" s="43"/>
      <c r="B70" s="101" t="s">
        <v>12</v>
      </c>
      <c r="C70" s="101"/>
      <c r="D70" s="101"/>
      <c r="E70" s="101"/>
      <c r="F70" s="101"/>
      <c r="G70" s="101"/>
      <c r="H70" s="76" t="s">
        <v>7</v>
      </c>
      <c r="I70" s="76" t="s">
        <v>6</v>
      </c>
      <c r="J70" s="111" t="s">
        <v>85</v>
      </c>
      <c r="K70" s="111"/>
      <c r="L70" s="111"/>
      <c r="M70" s="111"/>
      <c r="N70" s="111"/>
      <c r="O70" s="111"/>
      <c r="P70" s="111"/>
      <c r="Q70" s="39"/>
      <c r="Z70" s="63" t="s">
        <v>209</v>
      </c>
      <c r="AC70" s="63" t="s">
        <v>209</v>
      </c>
    </row>
    <row r="71" spans="1:30" ht="42.5" customHeight="1">
      <c r="A71" s="43"/>
      <c r="B71" s="101" t="s">
        <v>79</v>
      </c>
      <c r="C71" s="101"/>
      <c r="D71" s="101"/>
      <c r="E71" s="101"/>
      <c r="F71" s="101"/>
      <c r="G71" s="77" t="str">
        <f>$G$11</f>
        <v>[L/min]</v>
      </c>
      <c r="H71" s="79" t="str">
        <f xml:space="preserve"> IF(OR(H68="",$H$11="",H68&lt;=0,$H$11&lt;=0),"",ROUND(V71, 2-INT(LOG(ABS(V71)))))</f>
        <v/>
      </c>
      <c r="I71" s="79" t="str">
        <f xml:space="preserve"> IF(OR(I68="",$H$11="",I68&lt;=0,$H$11&lt;=0),"",ROUND(W71, 2-INT(LOG(ABS(W71)))))</f>
        <v/>
      </c>
      <c r="J71" s="114" t="str">
        <f>" Vr,h = Vh - Vw" &amp; IF(H71="",""," = " &amp; $H$68 &amp; " - " &amp; $V$11  &amp; " = " &amp; $H$71 &amp; " " &amp; $G$71)
&amp;CHAR(10)
&amp; " Vr,c = Vc - Vw" &amp; IF(I71="",""," = " &amp; $I$68 &amp; " - " &amp; $V$11  &amp; " = " &amp; $I$71 &amp; " " &amp; $G$71 )
&amp;CHAR(10)
&amp; "※計算値は有効桁数4桁を四捨五入する。"</f>
        <v xml:space="preserve"> Vr,h = Vh - Vw
 Vr,c = Vc - Vw
※計算値は有効桁数4桁を四捨五入する。</v>
      </c>
      <c r="K71" s="114"/>
      <c r="L71" s="114"/>
      <c r="M71" s="114"/>
      <c r="N71" s="114"/>
      <c r="O71" s="114"/>
      <c r="P71" s="114"/>
      <c r="Q71" s="39"/>
      <c r="V71" s="63" t="e">
        <f>H68-$V11</f>
        <v>#VALUE!</v>
      </c>
      <c r="W71" s="63" t="e">
        <f>I68-$V11</f>
        <v>#VALUE!</v>
      </c>
      <c r="Z71" s="63" t="s">
        <v>209</v>
      </c>
      <c r="AC71" s="63" t="s">
        <v>209</v>
      </c>
    </row>
    <row r="72" spans="1:30" ht="56" customHeight="1">
      <c r="A72" s="43"/>
      <c r="B72" s="115" t="s">
        <v>80</v>
      </c>
      <c r="C72" s="115"/>
      <c r="D72" s="115"/>
      <c r="E72" s="115"/>
      <c r="F72" s="115"/>
      <c r="G72" s="77" t="s">
        <v>15</v>
      </c>
      <c r="H72" s="79" t="str">
        <f xml:space="preserve"> IF(OR(H71="",H30="",H71&lt;=0,H30&lt;=0,H30&gt;24),"", ROUND(V72, 2-INT(LOG(ABS(V72)))))</f>
        <v/>
      </c>
      <c r="I72" s="79" t="str">
        <f xml:space="preserve"> IF(OR(I71="",I30="",I71&lt;=0,I30&lt;=0,I30&gt;24),"", ROUND(W72, 2-INT(LOG(ABS(W72)))))</f>
        <v/>
      </c>
      <c r="J72" s="114" t="str">
        <f ca="1" xml:space="preserve"> " Mwt,h = Vr,h × tload,h" &amp; IF(H72="",""," = (" &amp; $H$71 &amp; " / " &amp; INDIRECT(ADDRESS(ROW($AB$1)+MATCH($G71,$AA$2:$AA$4,0),COLUMN($AB$1))) &amp;") × (" &amp; $V$30 &amp; " × 3600)" &amp; " = " &amp; $H$72 &amp; " " &amp; $G$72 )
&amp; CHAR(10)
&amp; " Mwt,c = Vr,c × tload,c" &amp; IF(I72="",""," = (" &amp; $I$71 &amp; " / " &amp; INDIRECT(ADDRESS(ROW($AB$1)+MATCH($G71,$AA$2:$AA$4,0),COLUMN($AB$1))) &amp;") × (" &amp; $W$30 &amp; " × 3600)" &amp; " = " &amp; $I$72 &amp; " " &amp; $G$72)
&amp;CHAR(10)
&amp; "※計算値は有効桁数4桁を四捨五入する。"
&amp;IF(AND(H72="",I72=""),"",CHAR(10) &amp; "※式中の数値「"&amp;INDIRECT(ADDRESS(ROW($AB$1)+MATCH($G68,$AA$2:$AA$4,0),COLUMN($AB$1)))&amp;"」「3600」は単位変換に用いる係数である。")</f>
        <v xml:space="preserve"> Mwt,h = Vr,h × tload,h
 Mwt,c = Vr,c × tload,c
※計算値は有効桁数4桁を四捨五入する。</v>
      </c>
      <c r="K72" s="114"/>
      <c r="L72" s="114"/>
      <c r="M72" s="114"/>
      <c r="N72" s="114"/>
      <c r="O72" s="114"/>
      <c r="P72" s="114"/>
      <c r="Q72" s="39"/>
      <c r="V72" s="63" t="e">
        <f ca="1">H71*(V30*3600)/INDIRECT(ADDRESS(ROW($AB$1)+MATCH($G71,$AA$2:$AA$4,0),COLUMN($AB$1)))</f>
        <v>#VALUE!</v>
      </c>
      <c r="W72" s="63" t="e">
        <f ca="1">I71*(W30*3600)/INDIRECT(ADDRESS(ROW($AB$1)+MATCH($G71,$AA$2:$AA$4,0),COLUMN($AB$1)))</f>
        <v>#VALUE!</v>
      </c>
      <c r="Z72" s="63" t="s">
        <v>209</v>
      </c>
      <c r="AC72" s="63" t="s">
        <v>209</v>
      </c>
    </row>
    <row r="73" spans="1:30" ht="58.5" customHeight="1">
      <c r="A73" s="43"/>
      <c r="B73" s="115" t="s">
        <v>81</v>
      </c>
      <c r="C73" s="115"/>
      <c r="D73" s="115"/>
      <c r="E73" s="115"/>
      <c r="F73" s="115"/>
      <c r="G73" s="77" t="s">
        <v>15</v>
      </c>
      <c r="H73" s="79" t="str">
        <f>IF(OR($H11="",H30="",$H11&lt;=0,H30&lt;=0,H30&gt;24),"", ROUND(V73, 2-INT(LOG(ABS(V73)))))</f>
        <v/>
      </c>
      <c r="I73" s="79" t="str">
        <f>IF(OR($H11="",I30="",$H11&lt;=0,I30&lt;=0,I30&gt;24),"", ROUND(W73, 2-INT(LOG(ABS(W73)))))</f>
        <v/>
      </c>
      <c r="J73" s="114" t="str">
        <f ca="1">" Ms,h = Vw × tsw,h" &amp; IF(H73="",""," = ("&amp;$V$11&amp;" / "&amp;INDIRECT(ADDRESS(ROW($AB$1)+MATCH($G11,$AA$2:$AA$4,0),COLUMN($AB$1)))&amp;") × ((24 - "&amp;$V$30&amp;") × 3600)"&amp;" = "&amp;$H$73&amp;" "&amp;$G$73 )
&amp; CHAR(10)
&amp;" Ms,c = Vw × tsw,c" &amp; IF(I73="",""," = ("&amp;$V$11&amp;" / "&amp;INDIRECT(ADDRESS(ROW($AB$1)+MATCH($G11,$AA$2:$AA$4,0),COLUMN($AB$1)))&amp;") × ((24 - "&amp;$W$30&amp;") × 3600)"&amp;" = "&amp;$I$73&amp;" "&amp;$G$73)
&amp;CHAR(10)
&amp; "※計算値は有効桁数4桁を四捨五入する。"
&amp;IF(AND(H73="",I73=""),"",CHAR(10) &amp; "※式中の数値「"&amp;INDIRECT(ADDRESS(ROW($AB$1)+MATCH($G68,$AA$2:$AA$4,0),COLUMN($AB$1)))&amp;"」「3600」は単位変換に用いる係数である。")</f>
        <v xml:space="preserve"> Ms,h = Vw × tsw,h
 Ms,c = Vw × tsw,c
※計算値は有効桁数4桁を四捨五入する。</v>
      </c>
      <c r="K73" s="114"/>
      <c r="L73" s="114"/>
      <c r="M73" s="114"/>
      <c r="N73" s="114"/>
      <c r="O73" s="114"/>
      <c r="P73" s="114"/>
      <c r="Q73" s="39"/>
      <c r="V73" s="63">
        <f ca="1">$H11*((24-V30)*3600)/INDIRECT(ADDRESS(ROW($AB$1)+MATCH($G71,$AA$2:$AA$4,0),COLUMN($AB$1)))</f>
        <v>0</v>
      </c>
      <c r="W73" s="63">
        <f ca="1">$H11*((24-W30)*3600)/INDIRECT(ADDRESS(ROW($AB$1)+MATCH($G71,$AA$2:$AA$4,0),COLUMN($AB$1)))</f>
        <v>0</v>
      </c>
      <c r="Z73" s="63" t="s">
        <v>209</v>
      </c>
      <c r="AC73" s="63" t="s">
        <v>209</v>
      </c>
    </row>
    <row r="74" spans="1:30" ht="27.5" customHeight="1">
      <c r="A74" s="43"/>
      <c r="B74" s="101" t="s">
        <v>82</v>
      </c>
      <c r="C74" s="101"/>
      <c r="D74" s="101"/>
      <c r="E74" s="101"/>
      <c r="F74" s="101"/>
      <c r="G74" s="101"/>
      <c r="H74" s="80" t="s">
        <v>83</v>
      </c>
      <c r="I74" s="80" t="s">
        <v>84</v>
      </c>
      <c r="J74" s="149" t="s">
        <v>91</v>
      </c>
      <c r="K74" s="149"/>
      <c r="L74" s="149"/>
      <c r="M74" s="149"/>
      <c r="N74" s="149"/>
      <c r="O74" s="149"/>
      <c r="P74" s="149"/>
      <c r="Q74" s="39"/>
      <c r="AA74" s="63" t="s">
        <v>209</v>
      </c>
      <c r="AD74" s="63" t="s">
        <v>209</v>
      </c>
    </row>
    <row r="75" spans="1:30" ht="47.5" customHeight="1">
      <c r="A75" s="43"/>
      <c r="B75" s="101" t="s">
        <v>86</v>
      </c>
      <c r="C75" s="101"/>
      <c r="D75" s="101"/>
      <c r="E75" s="101"/>
      <c r="F75" s="101"/>
      <c r="G75" s="77" t="s">
        <v>1</v>
      </c>
      <c r="H75" s="79" t="str">
        <f>IF(OR(H68="",$H$11="",H68&lt;=0,$H$11&lt;=0),"",ROUND(V75,2-INT(LOG(ABS(V75)))))</f>
        <v/>
      </c>
      <c r="I75" s="79" t="str">
        <f>IF(OR(I68="",$H$11="",I68&lt;=0,$H$11&lt;=0),"",ROUND(W75,2-INT(LOG(ABS(W75)))))</f>
        <v/>
      </c>
      <c r="J75" s="114" t="str">
        <f>" nh = Vh / Vw" &amp; IF(H75="",""," = " &amp; $H$68 &amp; " / " &amp; $V$11 &amp; " = " &amp; $H$75 &amp; " [-]") &amp; CHAR(10)
&amp; " nc = Vc / Vw" &amp; IF(I75="","", " = " &amp; $I$68 &amp; " / " &amp; $V$11 &amp; " = " &amp; $I$75 &amp; " [-]") &amp;CHAR(10)
&amp; "※計算値は有効桁数4桁を四捨五入する。"</f>
        <v xml:space="preserve"> nh = Vh / Vw
 nc = Vc / Vw
※計算値は有効桁数4桁を四捨五入する。</v>
      </c>
      <c r="K75" s="114"/>
      <c r="L75" s="114"/>
      <c r="M75" s="114"/>
      <c r="N75" s="114"/>
      <c r="O75" s="114"/>
      <c r="P75" s="114"/>
      <c r="Q75" s="39"/>
      <c r="V75" s="63" t="e">
        <f>H68/$V$11</f>
        <v>#VALUE!</v>
      </c>
      <c r="W75" s="63" t="e">
        <f>I68/$V$11</f>
        <v>#VALUE!</v>
      </c>
      <c r="AA75" s="63" t="s">
        <v>209</v>
      </c>
      <c r="AD75" s="63" t="s">
        <v>209</v>
      </c>
    </row>
    <row r="76" spans="1:30" ht="27" customHeight="1">
      <c r="A76" s="43"/>
      <c r="B76" s="125" t="s">
        <v>99</v>
      </c>
      <c r="C76" s="126"/>
      <c r="D76" s="126"/>
      <c r="E76" s="126"/>
      <c r="F76" s="126"/>
      <c r="G76" s="126"/>
      <c r="H76" s="126"/>
      <c r="I76" s="126"/>
      <c r="J76" s="126"/>
      <c r="K76" s="126"/>
      <c r="L76" s="126"/>
      <c r="M76" s="126"/>
      <c r="N76" s="126"/>
      <c r="O76" s="126"/>
      <c r="P76" s="127"/>
      <c r="Q76" s="39"/>
      <c r="Z76" s="63" t="s">
        <v>209</v>
      </c>
      <c r="AA76" s="63" t="s">
        <v>209</v>
      </c>
      <c r="AC76" s="63" t="s">
        <v>209</v>
      </c>
      <c r="AD76" s="63" t="s">
        <v>209</v>
      </c>
    </row>
    <row r="77" spans="1:30" ht="44.5" customHeight="1">
      <c r="A77" s="43"/>
      <c r="B77" s="111" t="s">
        <v>87</v>
      </c>
      <c r="C77" s="111"/>
      <c r="D77" s="111"/>
      <c r="E77" s="111"/>
      <c r="F77" s="111"/>
      <c r="G77" s="77" t="s">
        <v>18</v>
      </c>
      <c r="H77" s="150" t="str">
        <f xml:space="preserve"> IF(OR($H32="",$H33=""),"",ROUND(V77, 2-INT(LOG(ABS(V77)))))</f>
        <v/>
      </c>
      <c r="I77" s="150"/>
      <c r="J77" s="114" t="str">
        <f ca="1">" Rins = lins / λins" &amp; IF(H77="","", " = (" &amp; $V32 &amp; " / " &amp; INDIRECT(ADDRESS(ROW($AD$1)+MATCH($G$32,$AC$2:$AC$4,0),COLUMN($AD$1))) &amp; ") / " &amp; $V33 &amp; " = " &amp; $H$77 &amp; " " &amp; $G$77) &amp;CHAR(10)
&amp; "※計算値は有効桁数4桁を四捨五入する。"
&amp;IF(AND(H77="",I77=""),"",CHAR(10) &amp; "※式中の数値「"&amp;INDIRECT(ADDRESS(ROW($AD$1)+MATCH($G$32,$AC$2:$AC$4,0),COLUMN($AD$1)))&amp;"」は単位変換に用いる係数である。")</f>
        <v xml:space="preserve"> Rins = lins / λins
※計算値は有効桁数4桁を四捨五入する。</v>
      </c>
      <c r="K77" s="114"/>
      <c r="L77" s="114"/>
      <c r="M77" s="114"/>
      <c r="N77" s="114"/>
      <c r="O77" s="114"/>
      <c r="P77" s="114"/>
      <c r="Q77" s="39"/>
      <c r="V77" s="63" t="e">
        <f ca="1">$V32/$V33/INDIRECT(ADDRESS(ROW($AD$1)+MATCH($G$32,$AC$2:$AC$4,0),COLUMN($AD$1)))</f>
        <v>#NUM!</v>
      </c>
      <c r="Z77" s="63" t="s">
        <v>209</v>
      </c>
      <c r="AA77" s="63" t="s">
        <v>209</v>
      </c>
      <c r="AC77" s="63" t="s">
        <v>209</v>
      </c>
      <c r="AD77" s="63" t="s">
        <v>209</v>
      </c>
    </row>
    <row r="78" spans="1:30" ht="27" customHeight="1">
      <c r="A78" s="43"/>
      <c r="B78" s="101" t="s">
        <v>90</v>
      </c>
      <c r="C78" s="101"/>
      <c r="D78" s="101"/>
      <c r="E78" s="101"/>
      <c r="F78" s="101"/>
      <c r="G78" s="101"/>
      <c r="H78" s="81" t="s">
        <v>83</v>
      </c>
      <c r="I78" s="81" t="s">
        <v>84</v>
      </c>
      <c r="J78" s="111" t="s">
        <v>88</v>
      </c>
      <c r="K78" s="101"/>
      <c r="L78" s="101"/>
      <c r="M78" s="101"/>
      <c r="N78" s="101"/>
      <c r="O78" s="101"/>
      <c r="P78" s="101"/>
      <c r="Q78" s="39"/>
      <c r="AB78" s="63" t="s">
        <v>209</v>
      </c>
      <c r="AC78" s="63" t="s">
        <v>209</v>
      </c>
      <c r="AD78" s="63" t="s">
        <v>209</v>
      </c>
    </row>
    <row r="79" spans="1:30" ht="67.5" customHeight="1">
      <c r="A79" s="43"/>
      <c r="B79" s="111" t="s">
        <v>89</v>
      </c>
      <c r="C79" s="111"/>
      <c r="D79" s="111"/>
      <c r="E79" s="111"/>
      <c r="F79" s="111"/>
      <c r="G79" s="77" t="s">
        <v>8</v>
      </c>
      <c r="H79" s="78" t="str">
        <f>IF(OR(H24="",H27="",H25="",H26="",H24-H27&lt;=0,H25-H26&lt;=0),"",
ROUND(V79,1))</f>
        <v/>
      </c>
      <c r="I79" s="78" t="str">
        <f>IF(OR(I24="",I27="",I25="",I26="",I27-I24&lt;=0,I26-I25&lt;=0),"",
ROUND(W79,1))</f>
        <v/>
      </c>
      <c r="J79" s="146" t="str">
        <f xml:space="preserve"> IF(H79="",""," ΔTm,h = " &amp;  IF((V24-V27)/(V25-V26)=1,"T1i,h - T2o,h = " &amp; V24 &amp; " - " &amp; V27,"{(T1i,h - T2o,h) - (T1o,h - T2i,h)} / ln{(T1i,h - T2o,h) / (T1o,h - T2i,h)} "&amp; CHAR(10) &amp; "            = " &amp; "{(" &amp; V24 &amp; " - " &amp; V27 &amp; ") - (" &amp;  V25 &amp; " - " &amp; V26 &amp; ")} / ln{(" &amp; V24 &amp; " - " &amp; V27 &amp; ") / (" &amp; V25 &amp; " - " &amp; V26 &amp; ")}" ) &amp; " = " &amp; $H$79 &amp; CHAR(10))
&amp; IF(I79="",""," ΔTm,c = " &amp; IF((W24-W27)/(W25-W26)=1, "T2o,c - T1i,c = " &amp; W27 &amp; " - " &amp; W24,"{(T2o,c - T1i,c) - (T2i,c - T1o,c)} / ln{(T2o,c - T1i,c) / (T2i,c - T1o,c)} "&amp; CHAR(10) &amp; "            = " &amp; "{(" &amp; W27 &amp; " - " &amp; W24 &amp; ") - (" &amp;  W26 &amp; " - " &amp; W25 &amp; ")} / ln{(" &amp; W27 &amp; " - " &amp; W24 &amp; ") / (" &amp; W26 &amp; " - " &amp; W25 &amp; ")}" ) &amp; " = " &amp; $I$79 &amp;CHAR(10))
&amp; "※計算値は小数点以下2桁を四捨五入する。"</f>
        <v>※計算値は小数点以下2桁を四捨五入する。</v>
      </c>
      <c r="K79" s="146"/>
      <c r="L79" s="146"/>
      <c r="M79" s="146"/>
      <c r="N79" s="146"/>
      <c r="O79" s="146"/>
      <c r="P79" s="146"/>
      <c r="Q79" s="39"/>
      <c r="V79" s="88" t="e">
        <f>IF((V24-V27)/(V25-V26)=1,Y11*(-V24+V27),-((V24-V27)-(V25-V26))/LN((V24-V27)/(V25-V26))*Y11)</f>
        <v>#DIV/0!</v>
      </c>
      <c r="W79" s="88" t="e">
        <f>IF((W24-W27)/(W25-W26)=1,Z11*(-W24+W27),-((W24-W27)-(W25-W26))/LN((W24-W27)/(W25-W26))*Z11)</f>
        <v>#DIV/0!</v>
      </c>
      <c r="AB79" s="63" t="s">
        <v>209</v>
      </c>
      <c r="AC79" s="63" t="s">
        <v>209</v>
      </c>
      <c r="AD79" s="63" t="s">
        <v>209</v>
      </c>
    </row>
    <row r="80" spans="1:30" ht="47" hidden="1" customHeight="1">
      <c r="A80" s="43"/>
      <c r="B80" s="147" t="s">
        <v>103</v>
      </c>
      <c r="C80" s="147"/>
      <c r="D80" s="147"/>
      <c r="E80" s="147"/>
      <c r="F80" s="147"/>
      <c r="G80" s="82" t="s">
        <v>104</v>
      </c>
      <c r="H80" s="83" t="str">
        <f xml:space="preserve"> IF(OR(H67="",H79="",H67&lt;=0,H79&lt;=0),"", ROUND(V80, 2-INT(LOG(ABS(V80)))))</f>
        <v/>
      </c>
      <c r="I80" s="83" t="str">
        <f xml:space="preserve"> IF(OR(I67="",I79="",I67&lt;=0,I79&lt;=0),"", ROUND(W80, 2-INT(LOG(ABS(W80)))))</f>
        <v/>
      </c>
      <c r="J80" s="148" t="str">
        <f xml:space="preserve"> " Uh = (Qh - Wh) / ΔTm,h" &amp; IF(H80="",""," = " &amp; $H$67 &amp; " / " &amp; $H$79 &amp; " = " &amp; $H$80)  &amp; CHAR(10)
&amp;  " Uc = (Qc + Wc) / ΔTm,c" &amp; IF(I80="",""," = " &amp; $I$67 &amp; " / " &amp; $I$79 &amp; " = " &amp; $I$80) &amp;CHAR(10)
&amp; "※計算値は有効桁数4桁で四捨五入する。"</f>
        <v xml:space="preserve"> Uh = (Qh - Wh) / ΔTm,h
 Uc = (Qc + Wc) / ΔTm,c
※計算値は有効桁数4桁で四捨五入する。</v>
      </c>
      <c r="K80" s="148"/>
      <c r="L80" s="148"/>
      <c r="M80" s="148"/>
      <c r="N80" s="148"/>
      <c r="O80" s="148"/>
      <c r="P80" s="148"/>
      <c r="Q80" s="39"/>
      <c r="V80" s="63" t="e">
        <f>H67/H79</f>
        <v>#VALUE!</v>
      </c>
      <c r="W80" s="63" t="e">
        <f>I67/I79</f>
        <v>#VALUE!</v>
      </c>
      <c r="AB80" s="63" t="s">
        <v>209</v>
      </c>
      <c r="AC80" s="63" t="s">
        <v>209</v>
      </c>
      <c r="AD80" s="63" t="s">
        <v>209</v>
      </c>
    </row>
    <row r="81" spans="2:16" ht="15.65" customHeight="1">
      <c r="B81" s="44"/>
      <c r="C81" s="44"/>
      <c r="D81" s="44"/>
      <c r="E81" s="44"/>
      <c r="F81" s="44"/>
      <c r="G81" s="44"/>
      <c r="H81" s="44"/>
      <c r="I81" s="45"/>
      <c r="J81" s="44"/>
      <c r="K81" s="44"/>
      <c r="L81" s="44"/>
      <c r="M81" s="44"/>
      <c r="N81" s="44"/>
      <c r="O81" s="44"/>
      <c r="P81" s="44"/>
    </row>
    <row r="82" spans="2:16" ht="15.65" customHeight="1">
      <c r="E82" s="33"/>
      <c r="I82" s="34"/>
    </row>
    <row r="83" spans="2:16" ht="15.65" customHeight="1">
      <c r="E83" s="33"/>
      <c r="I83" s="34"/>
    </row>
    <row r="84" spans="2:16" ht="19.5" customHeight="1">
      <c r="E84" s="33"/>
      <c r="I84" s="34"/>
    </row>
    <row r="85" spans="2:16" ht="20" customHeight="1">
      <c r="E85" s="33"/>
      <c r="H85" s="34"/>
      <c r="I85" s="34"/>
    </row>
    <row r="86" spans="2:16" ht="24.5" customHeight="1">
      <c r="E86" s="33"/>
      <c r="H86" s="34"/>
      <c r="I86" s="34"/>
    </row>
    <row r="87" spans="2:16" ht="15.65" customHeight="1">
      <c r="E87" s="33"/>
      <c r="H87" s="34"/>
      <c r="I87" s="34"/>
    </row>
    <row r="88" spans="2:16" ht="15.65" customHeight="1">
      <c r="E88" s="33"/>
      <c r="H88" s="59"/>
      <c r="I88" s="59"/>
    </row>
    <row r="89" spans="2:16" ht="15.65" customHeight="1">
      <c r="E89" s="33"/>
    </row>
    <row r="90" spans="2:16" ht="15.65" customHeight="1">
      <c r="E90" s="33"/>
      <c r="H90" s="59"/>
    </row>
    <row r="91" spans="2:16" ht="15.65" customHeight="1">
      <c r="E91" s="33"/>
    </row>
    <row r="92" spans="2:16" ht="15.65" customHeight="1">
      <c r="E92" s="59"/>
    </row>
    <row r="94" spans="2:16" ht="15.65" customHeight="1">
      <c r="B94" s="58"/>
    </row>
    <row r="96" spans="2:16" ht="15.65" customHeight="1">
      <c r="E96" s="33"/>
    </row>
    <row r="97" spans="2:5" ht="15.65" customHeight="1">
      <c r="E97" s="33"/>
    </row>
    <row r="98" spans="2:5" ht="15.65" customHeight="1">
      <c r="E98" s="33"/>
    </row>
    <row r="99" spans="2:5" ht="15.65" customHeight="1">
      <c r="E99" s="33"/>
    </row>
    <row r="100" spans="2:5" ht="15.65" customHeight="1">
      <c r="E100" s="33"/>
    </row>
    <row r="101" spans="2:5" ht="15.65" customHeight="1">
      <c r="E101" s="33"/>
    </row>
    <row r="102" spans="2:5" ht="15.65" customHeight="1">
      <c r="E102" s="33"/>
    </row>
    <row r="105" spans="2:5" ht="15.65" customHeight="1">
      <c r="B105" s="58"/>
    </row>
    <row r="108" spans="2:5" ht="15.65" customHeight="1">
      <c r="E108" s="59"/>
    </row>
    <row r="116" spans="5:5" ht="15.65" customHeight="1">
      <c r="E116" s="84"/>
    </row>
    <row r="119" spans="5:5" ht="15.65" customHeight="1">
      <c r="E119" s="59"/>
    </row>
    <row r="123" spans="5:5" ht="15" customHeight="1"/>
    <row r="124" spans="5:5" ht="15" customHeight="1"/>
    <row r="127" spans="5:5" ht="15.65" customHeight="1">
      <c r="E127" s="84"/>
    </row>
    <row r="128" spans="5:5" ht="15.65" customHeight="1">
      <c r="E128" s="84"/>
    </row>
    <row r="129" spans="2:11" ht="15.65" customHeight="1">
      <c r="E129" s="84"/>
    </row>
    <row r="130" spans="2:11" ht="15.65" customHeight="1">
      <c r="E130" s="33"/>
    </row>
    <row r="131" spans="2:11" ht="15.65" customHeight="1">
      <c r="E131" s="33"/>
      <c r="K131" s="58"/>
    </row>
    <row r="132" spans="2:11" ht="15.65" customHeight="1">
      <c r="C132" s="85"/>
      <c r="D132" s="85"/>
      <c r="E132" s="86"/>
    </row>
    <row r="133" spans="2:11" ht="15.65" customHeight="1">
      <c r="E133" s="33"/>
    </row>
    <row r="134" spans="2:11" ht="15.65" customHeight="1">
      <c r="E134" s="84"/>
    </row>
    <row r="135" spans="2:11" ht="15.65" customHeight="1">
      <c r="E135" s="84"/>
    </row>
    <row r="137" spans="2:11" ht="15.65" customHeight="1">
      <c r="B137" s="58"/>
    </row>
    <row r="138" spans="2:11" ht="15.65" customHeight="1">
      <c r="E138" s="59"/>
    </row>
    <row r="139" spans="2:11" ht="15.65" customHeight="1">
      <c r="E139" s="60"/>
    </row>
    <row r="140" spans="2:11" ht="15.65" customHeight="1">
      <c r="E140" s="60"/>
    </row>
    <row r="142" spans="2:11" ht="15.65" customHeight="1">
      <c r="E142" s="59"/>
    </row>
    <row r="143" spans="2:11" ht="15.65" customHeight="1">
      <c r="E143" s="60"/>
    </row>
    <row r="144" spans="2:11" ht="15.65" customHeight="1">
      <c r="E144" s="60"/>
    </row>
    <row r="148" spans="2:6" ht="15.65" customHeight="1">
      <c r="B148" s="58"/>
    </row>
    <row r="150" spans="2:6" ht="15.65" customHeight="1">
      <c r="E150" s="33"/>
    </row>
    <row r="151" spans="2:6" ht="15.65" customHeight="1">
      <c r="E151" s="59"/>
    </row>
    <row r="152" spans="2:6" ht="15.65" customHeight="1">
      <c r="E152" s="60"/>
      <c r="F152" s="61"/>
    </row>
    <row r="153" spans="2:6" ht="15.65" customHeight="1">
      <c r="E153" s="60"/>
      <c r="F153" s="61"/>
    </row>
    <row r="154" spans="2:6" ht="15.65" customHeight="1">
      <c r="E154" s="59"/>
    </row>
    <row r="155" spans="2:6" ht="15.65" customHeight="1">
      <c r="E155" s="59"/>
    </row>
    <row r="156" spans="2:6" ht="15.65" customHeight="1">
      <c r="E156" s="60"/>
      <c r="F156" s="61"/>
    </row>
    <row r="157" spans="2:6" ht="15.65" customHeight="1">
      <c r="E157" s="60"/>
      <c r="F157" s="61"/>
    </row>
    <row r="159" spans="2:6" ht="15.65" customHeight="1">
      <c r="E159" s="62"/>
    </row>
  </sheetData>
  <sheetProtection algorithmName="SHA-512" hashValue="Fj5w/M4MqCZnGrQAI9IpCO03neoqUCN+gs+ChCuiFRRYnriAfuUYh5I/MG82n7j1wA+FPoTSoWDkHyKePv8jAw==" saltValue="EYLzHbWLP3urrB7O3KMv3g==" spinCount="100000" sheet="1" objects="1" scenarios="1"/>
  <mergeCells count="134">
    <mergeCell ref="B2:J2"/>
    <mergeCell ref="L2:P2"/>
    <mergeCell ref="B3:J3"/>
    <mergeCell ref="L3:P3"/>
    <mergeCell ref="B5:G5"/>
    <mergeCell ref="H5:P5"/>
    <mergeCell ref="B11:F11"/>
    <mergeCell ref="H11:I11"/>
    <mergeCell ref="J11:P11"/>
    <mergeCell ref="B12:G12"/>
    <mergeCell ref="J12:P12"/>
    <mergeCell ref="B13:F13"/>
    <mergeCell ref="J13:P14"/>
    <mergeCell ref="B14:F14"/>
    <mergeCell ref="B6:G6"/>
    <mergeCell ref="H6:P6"/>
    <mergeCell ref="B9:F9"/>
    <mergeCell ref="H9:I9"/>
    <mergeCell ref="J9:P9"/>
    <mergeCell ref="B10:F10"/>
    <mergeCell ref="H10:I10"/>
    <mergeCell ref="J10:P10"/>
    <mergeCell ref="B20:F20"/>
    <mergeCell ref="H20:I20"/>
    <mergeCell ref="J20:P21"/>
    <mergeCell ref="B21:F21"/>
    <mergeCell ref="H21:I21"/>
    <mergeCell ref="B22:F22"/>
    <mergeCell ref="H22:I22"/>
    <mergeCell ref="J22:P22"/>
    <mergeCell ref="B15:F15"/>
    <mergeCell ref="J15:P16"/>
    <mergeCell ref="B16:F16"/>
    <mergeCell ref="B17:I17"/>
    <mergeCell ref="J17:P17"/>
    <mergeCell ref="B18:F18"/>
    <mergeCell ref="H18:I18"/>
    <mergeCell ref="J18:P19"/>
    <mergeCell ref="B19:F19"/>
    <mergeCell ref="H19:I19"/>
    <mergeCell ref="B28:I28"/>
    <mergeCell ref="J28:P28"/>
    <mergeCell ref="B29:F29"/>
    <mergeCell ref="H29:I29"/>
    <mergeCell ref="J29:P29"/>
    <mergeCell ref="B30:F30"/>
    <mergeCell ref="J30:P30"/>
    <mergeCell ref="B23:G23"/>
    <mergeCell ref="J23:P27"/>
    <mergeCell ref="B24:F24"/>
    <mergeCell ref="B25:F25"/>
    <mergeCell ref="B26:F26"/>
    <mergeCell ref="B27:F27"/>
    <mergeCell ref="B33:F33"/>
    <mergeCell ref="H33:I33"/>
    <mergeCell ref="J33:P33"/>
    <mergeCell ref="B36:F36"/>
    <mergeCell ref="H36:I36"/>
    <mergeCell ref="J36:P36"/>
    <mergeCell ref="B31:F31"/>
    <mergeCell ref="H31:I31"/>
    <mergeCell ref="J31:P31"/>
    <mergeCell ref="B32:F32"/>
    <mergeCell ref="H32:I32"/>
    <mergeCell ref="J32:P32"/>
    <mergeCell ref="B49:G49"/>
    <mergeCell ref="H49:P49"/>
    <mergeCell ref="B50:G50"/>
    <mergeCell ref="H50:P50"/>
    <mergeCell ref="B53:G54"/>
    <mergeCell ref="H53:I53"/>
    <mergeCell ref="J53:P54"/>
    <mergeCell ref="B37:F37"/>
    <mergeCell ref="H37:I37"/>
    <mergeCell ref="J37:P37"/>
    <mergeCell ref="B46:J46"/>
    <mergeCell ref="L46:P46"/>
    <mergeCell ref="B47:J47"/>
    <mergeCell ref="L47:P47"/>
    <mergeCell ref="F39:P39"/>
    <mergeCell ref="B58:G58"/>
    <mergeCell ref="J58:P58"/>
    <mergeCell ref="B59:G59"/>
    <mergeCell ref="H59:I59"/>
    <mergeCell ref="J59:P59"/>
    <mergeCell ref="B60:G60"/>
    <mergeCell ref="J60:P60"/>
    <mergeCell ref="B55:G55"/>
    <mergeCell ref="H55:I55"/>
    <mergeCell ref="J55:P55"/>
    <mergeCell ref="B56:G56"/>
    <mergeCell ref="J56:P56"/>
    <mergeCell ref="B57:G57"/>
    <mergeCell ref="J57:P57"/>
    <mergeCell ref="B65:G65"/>
    <mergeCell ref="J65:P65"/>
    <mergeCell ref="B66:F66"/>
    <mergeCell ref="J66:P66"/>
    <mergeCell ref="B67:F67"/>
    <mergeCell ref="J67:P67"/>
    <mergeCell ref="B61:G61"/>
    <mergeCell ref="H61:I61"/>
    <mergeCell ref="J61:P61"/>
    <mergeCell ref="F63:P63"/>
    <mergeCell ref="B64:F64"/>
    <mergeCell ref="H64:I64"/>
    <mergeCell ref="J64:P64"/>
    <mergeCell ref="B71:F71"/>
    <mergeCell ref="J71:P71"/>
    <mergeCell ref="B72:F72"/>
    <mergeCell ref="J72:P72"/>
    <mergeCell ref="B73:F73"/>
    <mergeCell ref="J73:P73"/>
    <mergeCell ref="B68:F68"/>
    <mergeCell ref="J68:P68"/>
    <mergeCell ref="B69:F69"/>
    <mergeCell ref="H69:I69"/>
    <mergeCell ref="J69:P69"/>
    <mergeCell ref="B70:G70"/>
    <mergeCell ref="J70:P70"/>
    <mergeCell ref="B78:G78"/>
    <mergeCell ref="J78:P78"/>
    <mergeCell ref="B79:F79"/>
    <mergeCell ref="J79:P79"/>
    <mergeCell ref="B80:F80"/>
    <mergeCell ref="J80:P80"/>
    <mergeCell ref="B74:G74"/>
    <mergeCell ref="J74:P74"/>
    <mergeCell ref="B75:F75"/>
    <mergeCell ref="J75:P75"/>
    <mergeCell ref="B76:P76"/>
    <mergeCell ref="B77:F77"/>
    <mergeCell ref="H77:I77"/>
    <mergeCell ref="J77:P77"/>
  </mergeCells>
  <phoneticPr fontId="1"/>
  <conditionalFormatting sqref="B32:P33 B76:P77 B59:P59">
    <cfRule type="expression" dxfId="35" priority="4">
      <formula>$H$31="×"</formula>
    </cfRule>
  </conditionalFormatting>
  <conditionalFormatting sqref="B52:P62 B64:P75 B63:F63 B77:P80 B76 B30:J30 B31:P38 B40:P44 F39 B13:P29">
    <cfRule type="expression" dxfId="34" priority="5">
      <formula>INDIRECT(ADDRESS(ROW(B13),COLUMN($Y$12)+MATCH($H$10,$Y$12:$AD$12,0)-1))=""</formula>
    </cfRule>
  </conditionalFormatting>
  <conditionalFormatting sqref="H15:H16">
    <cfRule type="expression" dxfId="33" priority="15">
      <formula>AND($H$15&lt;=$H$16,$H$15&lt;&gt;"",$H$16&lt;&gt;"")</formula>
    </cfRule>
  </conditionalFormatting>
  <conditionalFormatting sqref="I15:I16">
    <cfRule type="expression" dxfId="32" priority="14">
      <formula>AND($I$15&gt;=$I$16,$I$15&lt;&gt;"",$I$16&lt;&gt;"")</formula>
    </cfRule>
  </conditionalFormatting>
  <conditionalFormatting sqref="H24:H25">
    <cfRule type="expression" dxfId="31" priority="13">
      <formula>AND($H$24&lt;=$H$25,$H$24&lt;&gt;"",$H$25&lt;&gt;"")</formula>
    </cfRule>
  </conditionalFormatting>
  <conditionalFormatting sqref="I24:I25">
    <cfRule type="expression" dxfId="30" priority="12">
      <formula>AND($I$24&gt;=$I$25,$I$24&lt;&gt;"",$I$25&lt;&gt;"")</formula>
    </cfRule>
  </conditionalFormatting>
  <conditionalFormatting sqref="H26:H27">
    <cfRule type="expression" dxfId="29" priority="11">
      <formula>AND($H$26&gt;=$H$27,$H$26&lt;&gt;"",$H$27&lt;&gt;"")</formula>
    </cfRule>
  </conditionalFormatting>
  <conditionalFormatting sqref="I26:I27">
    <cfRule type="expression" dxfId="28" priority="10">
      <formula>AND($I$26&lt;=$I$27,$I$26&lt;&gt;"",$I$27&lt;&gt;"")</formula>
    </cfRule>
  </conditionalFormatting>
  <conditionalFormatting sqref="H24 H27">
    <cfRule type="expression" dxfId="27" priority="9">
      <formula>AND($H$24&lt;=$H$27,$H$24&lt;&gt;"",$H$27&lt;&gt;"")</formula>
    </cfRule>
  </conditionalFormatting>
  <conditionalFormatting sqref="H25:H26">
    <cfRule type="expression" dxfId="26" priority="8">
      <formula>AND($H$26&gt;=$H$25,$H$25&lt;&gt;"",$H$26&lt;&gt;"")</formula>
    </cfRule>
  </conditionalFormatting>
  <conditionalFormatting sqref="I24 I27">
    <cfRule type="expression" dxfId="25" priority="7">
      <formula>AND($I$24&gt;=$I$27,$I$24&lt;&gt;"",$I$27&lt;&gt;"")</formula>
    </cfRule>
  </conditionalFormatting>
  <conditionalFormatting sqref="I25:I26">
    <cfRule type="expression" dxfId="24" priority="6">
      <formula>AND($I$25&gt;=$I$26,$I$25&lt;&gt;"",$I$26&lt;&gt;"")</formula>
    </cfRule>
  </conditionalFormatting>
  <conditionalFormatting sqref="H60:I60 H59 H61 H55:I58">
    <cfRule type="expression" dxfId="23" priority="16">
      <formula>H55="NG"</formula>
    </cfRule>
  </conditionalFormatting>
  <conditionalFormatting sqref="H30">
    <cfRule type="expression" dxfId="22" priority="17">
      <formula>$H$30+#REF!&gt;24</formula>
    </cfRule>
  </conditionalFormatting>
  <conditionalFormatting sqref="I30">
    <cfRule type="expression" dxfId="21" priority="18">
      <formula>$I$30+#REF!&gt;24</formula>
    </cfRule>
  </conditionalFormatting>
  <conditionalFormatting sqref="B39:D39">
    <cfRule type="expression" dxfId="20" priority="3">
      <formula>INDIRECT(ADDRESS(ROW(B39),COLUMN($Y$12)+MATCH($H$10,$Y$12:$AD$12,0)-1))=""</formula>
    </cfRule>
  </conditionalFormatting>
  <conditionalFormatting sqref="E39">
    <cfRule type="expression" dxfId="19" priority="1">
      <formula>INDIRECT(ADDRESS(ROW(E39),COLUMN($Y$12)+MATCH($H$10,$Y$12:$AD$12,0)-1))=""</formula>
    </cfRule>
  </conditionalFormatting>
  <conditionalFormatting sqref="E39">
    <cfRule type="expression" dxfId="18" priority="2">
      <formula>E39="NG"</formula>
    </cfRule>
  </conditionalFormatting>
  <dataValidations disablePrompts="1" count="4">
    <dataValidation type="list" allowBlank="1" showInputMessage="1" showErrorMessage="1" sqref="H31" xr:uid="{839C7914-9165-4D01-A5A3-9113AA1F6D09}">
      <formula1>"○,×"</formula1>
    </dataValidation>
    <dataValidation type="list" allowBlank="1" showInputMessage="1" showErrorMessage="1" sqref="G11" xr:uid="{833044AC-C2D5-48F7-A58A-0ADF7985B486}">
      <formula1>AA$2:AA$4</formula1>
    </dataValidation>
    <dataValidation type="list" allowBlank="1" showInputMessage="1" showErrorMessage="1" sqref="G32" xr:uid="{192BEE70-48FD-4AE0-82AD-B553E87CFF12}">
      <formula1>$AC$2:$AC$4</formula1>
    </dataValidation>
    <dataValidation type="list" showInputMessage="1" showErrorMessage="1" sqref="H10:I10" xr:uid="{9721C23F-747B-48DE-A656-599D02F86E0A}">
      <formula1>$U$2:$U$7</formula1>
    </dataValidation>
  </dataValidations>
  <pageMargins left="0.59055118110236227" right="0.59055118110236227" top="0.59055118110236227" bottom="0.59055118110236227" header="0.31496062992125984" footer="0.31496062992125984"/>
  <pageSetup paperSize="9" scale="60" fitToWidth="0" orientation="portrait" r:id="rId1"/>
  <headerFooter>
    <oddFooter>&amp;C&amp;"ＭＳ Ｐ明朝,標準"オープンループ型地中熱ヒートポンプシステムの設計チェックシート&amp;"Times New Roman,標準" &amp;"ＭＳ Ｐ明朝,標準"(&amp;"Times New Roman,標準"Ver.1.0&amp;"ＭＳ Ｐ明朝,標準")  - &amp;"Times New Roman,標準"&amp;P / 2&amp;"ＭＳ Ｐ明朝,標準" -</oddFooter>
  </headerFooter>
  <rowBreaks count="1" manualBreakCount="1">
    <brk id="44" max="16383" man="1"/>
  </rowBreaks>
  <colBreaks count="1" manualBreakCount="1">
    <brk id="17"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F83867-6FF2-4B37-92FA-C300762668F7}">
  <dimension ref="A1:AK159"/>
  <sheetViews>
    <sheetView zoomScaleNormal="100" workbookViewId="0">
      <selection activeCell="R1" sqref="R1"/>
    </sheetView>
  </sheetViews>
  <sheetFormatPr defaultColWidth="8.75" defaultRowHeight="15.65" customHeight="1"/>
  <cols>
    <col min="1" max="1" width="1.08203125" style="33" customWidth="1"/>
    <col min="2" max="4" width="8.5" style="33" customWidth="1"/>
    <col min="5" max="5" width="8.5" style="34" customWidth="1"/>
    <col min="6" max="6" width="8.5" style="33" customWidth="1"/>
    <col min="7" max="7" width="10.08203125" style="33" customWidth="1"/>
    <col min="8" max="9" width="8.5" style="33" customWidth="1"/>
    <col min="10" max="10" width="10.5" style="33" customWidth="1"/>
    <col min="11" max="15" width="8.5" style="33" customWidth="1"/>
    <col min="16" max="16" width="12.25" style="33" customWidth="1"/>
    <col min="17" max="17" width="0.6640625" style="33" customWidth="1"/>
    <col min="18" max="18" width="8.75" style="33"/>
    <col min="19" max="37" width="8.75" style="63"/>
    <col min="38" max="16384" width="8.75" style="33"/>
  </cols>
  <sheetData>
    <row r="1" spans="1:32" ht="9.5" customHeight="1" thickBot="1">
      <c r="U1" s="63" t="s">
        <v>192</v>
      </c>
      <c r="V1" s="63" t="s">
        <v>193</v>
      </c>
      <c r="W1" s="63" t="s">
        <v>194</v>
      </c>
      <c r="X1" s="63" t="s">
        <v>195</v>
      </c>
      <c r="Y1" s="63" t="s">
        <v>196</v>
      </c>
    </row>
    <row r="2" spans="1:32" ht="36.5" customHeight="1" thickTop="1" thickBot="1">
      <c r="B2" s="132" t="s">
        <v>128</v>
      </c>
      <c r="C2" s="133"/>
      <c r="D2" s="133"/>
      <c r="E2" s="133"/>
      <c r="F2" s="133"/>
      <c r="G2" s="133"/>
      <c r="H2" s="133"/>
      <c r="I2" s="133"/>
      <c r="J2" s="134"/>
      <c r="K2" s="36" t="s">
        <v>25</v>
      </c>
      <c r="L2" s="135" t="str">
        <f>IF(①記入例!L2:P2="","",①記入例!L2:P2)</f>
        <v>2020/○/○</v>
      </c>
      <c r="M2" s="136"/>
      <c r="N2" s="136"/>
      <c r="O2" s="136"/>
      <c r="P2" s="137"/>
      <c r="U2" s="63" t="s">
        <v>197</v>
      </c>
      <c r="V2" s="63">
        <v>0</v>
      </c>
      <c r="W2" s="63">
        <v>0</v>
      </c>
      <c r="X2" s="63">
        <v>0</v>
      </c>
      <c r="Y2" s="63">
        <v>0</v>
      </c>
      <c r="Z2" s="87" t="s">
        <v>32</v>
      </c>
      <c r="AA2" s="63" t="s">
        <v>2</v>
      </c>
      <c r="AB2" s="63">
        <f>1000*60</f>
        <v>60000</v>
      </c>
      <c r="AC2" s="63" t="s">
        <v>20</v>
      </c>
      <c r="AD2" s="63">
        <v>1000</v>
      </c>
    </row>
    <row r="3" spans="1:32" ht="36.5" customHeight="1" thickTop="1" thickBot="1">
      <c r="B3" s="138" t="s">
        <v>92</v>
      </c>
      <c r="C3" s="139"/>
      <c r="D3" s="139"/>
      <c r="E3" s="139"/>
      <c r="F3" s="139"/>
      <c r="G3" s="139"/>
      <c r="H3" s="139"/>
      <c r="I3" s="139"/>
      <c r="J3" s="140"/>
      <c r="K3" s="38" t="s">
        <v>24</v>
      </c>
      <c r="L3" s="141" t="str">
        <f>IF(①記入例!L3:P3="","",①記入例!L3:P3)</f>
        <v>○○株式会社　○○</v>
      </c>
      <c r="M3" s="197"/>
      <c r="N3" s="197"/>
      <c r="O3" s="197"/>
      <c r="P3" s="198"/>
      <c r="Q3" s="39"/>
      <c r="U3" s="63" t="s">
        <v>198</v>
      </c>
      <c r="V3" s="63">
        <v>0</v>
      </c>
      <c r="W3" s="63">
        <v>0</v>
      </c>
      <c r="X3" s="63">
        <v>0</v>
      </c>
      <c r="Y3" s="63">
        <v>0</v>
      </c>
      <c r="Z3" s="87" t="s">
        <v>33</v>
      </c>
      <c r="AA3" s="63" t="s">
        <v>13</v>
      </c>
      <c r="AB3" s="63">
        <f>60*60</f>
        <v>3600</v>
      </c>
      <c r="AC3" s="63" t="s">
        <v>21</v>
      </c>
      <c r="AD3" s="63">
        <v>100</v>
      </c>
    </row>
    <row r="4" spans="1:32" ht="8.5" customHeight="1" thickTop="1">
      <c r="B4" s="40"/>
      <c r="C4" s="40"/>
      <c r="D4" s="40"/>
      <c r="E4" s="41"/>
      <c r="F4" s="40"/>
      <c r="G4" s="40"/>
      <c r="H4" s="40"/>
      <c r="I4" s="40"/>
      <c r="J4" s="40"/>
      <c r="K4" s="40"/>
      <c r="L4" s="42"/>
      <c r="M4" s="42"/>
      <c r="N4" s="42"/>
      <c r="O4" s="42"/>
      <c r="P4" s="42"/>
      <c r="U4" s="63" t="s">
        <v>199</v>
      </c>
      <c r="V4" s="63">
        <v>-2</v>
      </c>
      <c r="W4" s="63">
        <v>3</v>
      </c>
      <c r="X4" s="63">
        <v>0</v>
      </c>
      <c r="Y4" s="63">
        <v>0</v>
      </c>
      <c r="Z4" s="87" t="s">
        <v>34</v>
      </c>
      <c r="AA4" s="63" t="s">
        <v>14</v>
      </c>
      <c r="AB4" s="63">
        <v>1</v>
      </c>
      <c r="AC4" s="63" t="s">
        <v>22</v>
      </c>
      <c r="AD4" s="63">
        <v>1</v>
      </c>
    </row>
    <row r="5" spans="1:32" ht="24" customHeight="1" thickBot="1">
      <c r="A5" s="43"/>
      <c r="B5" s="142" t="s">
        <v>26</v>
      </c>
      <c r="C5" s="142"/>
      <c r="D5" s="142"/>
      <c r="E5" s="142"/>
      <c r="F5" s="142"/>
      <c r="G5" s="142"/>
      <c r="H5" s="142" t="s">
        <v>63</v>
      </c>
      <c r="I5" s="142"/>
      <c r="J5" s="142"/>
      <c r="K5" s="142"/>
      <c r="L5" s="142"/>
      <c r="M5" s="142"/>
      <c r="N5" s="142"/>
      <c r="O5" s="142"/>
      <c r="P5" s="142"/>
      <c r="Q5" s="39"/>
      <c r="U5" s="63" t="s">
        <v>200</v>
      </c>
      <c r="V5" s="63">
        <v>0</v>
      </c>
      <c r="W5" s="63">
        <v>0</v>
      </c>
      <c r="X5" s="63">
        <v>-2</v>
      </c>
      <c r="Y5" s="63">
        <v>3</v>
      </c>
      <c r="Z5" s="87" t="s">
        <v>35</v>
      </c>
    </row>
    <row r="6" spans="1:32" ht="36.5" customHeight="1" thickTop="1" thickBot="1">
      <c r="A6" s="43"/>
      <c r="B6" s="143" t="str">
        <f>IF(①記入例!B6:G6="","",①記入例!B6:G6)</f>
        <v>○○事務所</v>
      </c>
      <c r="C6" s="143"/>
      <c r="D6" s="143"/>
      <c r="E6" s="143"/>
      <c r="F6" s="143"/>
      <c r="G6" s="143"/>
      <c r="H6" s="144" t="str">
        <f>IF(①記入例!H6:P6="","",①記入例!H6:P6)</f>
        <v>AC01</v>
      </c>
      <c r="I6" s="144"/>
      <c r="J6" s="144"/>
      <c r="K6" s="144"/>
      <c r="L6" s="144"/>
      <c r="M6" s="144"/>
      <c r="N6" s="144"/>
      <c r="O6" s="144"/>
      <c r="P6" s="144"/>
      <c r="Q6" s="39"/>
      <c r="U6" s="63" t="s">
        <v>201</v>
      </c>
      <c r="V6" s="63">
        <v>0</v>
      </c>
      <c r="W6" s="63">
        <v>0</v>
      </c>
      <c r="X6" s="63">
        <v>-2</v>
      </c>
      <c r="Y6" s="63">
        <v>3</v>
      </c>
      <c r="Z6" s="87" t="s">
        <v>36</v>
      </c>
    </row>
    <row r="7" spans="1:32" ht="7.5" customHeight="1" thickTop="1">
      <c r="B7" s="44"/>
      <c r="C7" s="44"/>
      <c r="D7" s="44"/>
      <c r="E7" s="45"/>
      <c r="F7" s="44"/>
      <c r="G7" s="44"/>
      <c r="H7" s="44"/>
      <c r="I7" s="44"/>
      <c r="J7" s="44"/>
      <c r="K7" s="44"/>
      <c r="L7" s="44"/>
      <c r="M7" s="44"/>
      <c r="N7" s="44"/>
      <c r="O7" s="44"/>
      <c r="P7" s="44"/>
      <c r="U7" s="63" t="s">
        <v>202</v>
      </c>
      <c r="V7" s="63">
        <v>-2</v>
      </c>
      <c r="W7" s="63">
        <v>3</v>
      </c>
      <c r="X7" s="63">
        <v>-2</v>
      </c>
      <c r="Y7" s="63">
        <v>3</v>
      </c>
      <c r="Z7" s="87" t="s">
        <v>37</v>
      </c>
    </row>
    <row r="8" spans="1:32" ht="15.65" customHeight="1">
      <c r="B8" s="40" t="s">
        <v>3</v>
      </c>
      <c r="C8" s="40"/>
      <c r="D8" s="40"/>
      <c r="E8" s="40"/>
      <c r="F8" s="40"/>
      <c r="G8" s="40"/>
      <c r="H8" s="40"/>
      <c r="I8" s="41"/>
      <c r="J8" s="46"/>
      <c r="K8" s="40"/>
      <c r="L8" s="40"/>
      <c r="M8" s="40"/>
      <c r="N8" s="40"/>
      <c r="O8" s="40"/>
      <c r="P8" s="47" t="s">
        <v>77</v>
      </c>
    </row>
    <row r="9" spans="1:32" ht="24.5" customHeight="1" thickBot="1">
      <c r="A9" s="43"/>
      <c r="B9" s="115" t="s">
        <v>27</v>
      </c>
      <c r="C9" s="115"/>
      <c r="D9" s="115"/>
      <c r="E9" s="115"/>
      <c r="F9" s="115"/>
      <c r="G9" s="48" t="s">
        <v>28</v>
      </c>
      <c r="H9" s="116" t="s">
        <v>29</v>
      </c>
      <c r="I9" s="116"/>
      <c r="J9" s="115" t="s">
        <v>30</v>
      </c>
      <c r="K9" s="115"/>
      <c r="L9" s="115"/>
      <c r="M9" s="115"/>
      <c r="N9" s="115"/>
      <c r="O9" s="115"/>
      <c r="P9" s="115"/>
      <c r="Q9" s="39"/>
    </row>
    <row r="10" spans="1:32" ht="65" customHeight="1" thickTop="1" thickBot="1">
      <c r="A10" s="43"/>
      <c r="B10" s="101" t="s">
        <v>4</v>
      </c>
      <c r="C10" s="101"/>
      <c r="D10" s="101"/>
      <c r="E10" s="101"/>
      <c r="F10" s="101"/>
      <c r="G10" s="64" t="s">
        <v>31</v>
      </c>
      <c r="H10" s="193" t="str">
        <f>IF(①記入例!H10="","",①記入例!H10)</f>
        <v>タイプF</v>
      </c>
      <c r="I10" s="194"/>
      <c r="J10" s="195" t="str">
        <f ca="1">"※「熱交換器の有無」「井水槽の有無」「熱交換後の熱源水を井水槽に戻すかどうか」により「タイプ」を選択する。"
&amp; IF($H$10="","","選択した「"&amp;$H$10&amp;"」は"&amp;INDIRECT(ADDRESS(ROW($Z$1)+MATCH($H$10,$U$2:$U$7),COLUMN($Z$1))) &amp; "である。")
&amp; "タイプに応じて以下に必要事項を入力する。"</f>
        <v>※「熱交換器の有無」「井水槽の有無」「熱交換後の熱源水を井水槽に戻すかどうか」により「タイプ」を選択する。選択した「タイプF」は「熱交換器あり」「井水槽あり」「熱交換後の熱源水を井水槽に戻す」である。タイプに応じて以下に必要事項を入力する。</v>
      </c>
      <c r="K10" s="195"/>
      <c r="L10" s="195"/>
      <c r="M10" s="195"/>
      <c r="N10" s="195"/>
      <c r="O10" s="195"/>
      <c r="P10" s="196"/>
      <c r="Q10" s="39"/>
    </row>
    <row r="11" spans="1:32" ht="54.5" customHeight="1" thickTop="1" thickBot="1">
      <c r="A11" s="43"/>
      <c r="B11" s="101" t="s">
        <v>17</v>
      </c>
      <c r="C11" s="101"/>
      <c r="D11" s="101"/>
      <c r="E11" s="101"/>
      <c r="F11" s="125"/>
      <c r="G11" s="28" t="str">
        <f>①熱源水ポンプ群合計消費電力計算シート!$G$21</f>
        <v>[L/min]</v>
      </c>
      <c r="H11" s="199">
        <v>50</v>
      </c>
      <c r="I11" s="200"/>
      <c r="J11" s="195" t="s">
        <v>214</v>
      </c>
      <c r="K11" s="195"/>
      <c r="L11" s="195"/>
      <c r="M11" s="195"/>
      <c r="N11" s="195"/>
      <c r="O11" s="195"/>
      <c r="P11" s="196"/>
      <c r="Q11" s="39"/>
      <c r="V11" s="63">
        <f xml:space="preserve"> ROUND(H11, 2-INT(LOG(ABS(H11))))</f>
        <v>50</v>
      </c>
      <c r="Y11" s="63">
        <v>-1</v>
      </c>
      <c r="Z11" s="63">
        <v>1</v>
      </c>
    </row>
    <row r="12" spans="1:32" ht="33.5" customHeight="1" thickTop="1" thickBot="1">
      <c r="A12" s="43"/>
      <c r="B12" s="125" t="s">
        <v>5</v>
      </c>
      <c r="C12" s="126"/>
      <c r="D12" s="126"/>
      <c r="E12" s="126"/>
      <c r="F12" s="126"/>
      <c r="G12" s="188"/>
      <c r="H12" s="65" t="s">
        <v>7</v>
      </c>
      <c r="I12" s="65" t="s">
        <v>6</v>
      </c>
      <c r="J12" s="142" t="s">
        <v>38</v>
      </c>
      <c r="K12" s="189"/>
      <c r="L12" s="189"/>
      <c r="M12" s="189"/>
      <c r="N12" s="189"/>
      <c r="O12" s="189"/>
      <c r="P12" s="189"/>
      <c r="Q12" s="39"/>
      <c r="Y12" s="63" t="s">
        <v>203</v>
      </c>
      <c r="Z12" s="63" t="s">
        <v>204</v>
      </c>
      <c r="AA12" s="63" t="s">
        <v>205</v>
      </c>
      <c r="AB12" s="63" t="s">
        <v>206</v>
      </c>
      <c r="AC12" s="63" t="s">
        <v>207</v>
      </c>
      <c r="AD12" s="63" t="s">
        <v>208</v>
      </c>
      <c r="AF12" s="87"/>
    </row>
    <row r="13" spans="1:32" ht="36.5" customHeight="1" thickTop="1" thickBot="1">
      <c r="A13" s="43"/>
      <c r="B13" s="111" t="s">
        <v>39</v>
      </c>
      <c r="C13" s="111"/>
      <c r="D13" s="111"/>
      <c r="E13" s="111"/>
      <c r="F13" s="111"/>
      <c r="G13" s="52" t="s">
        <v>0</v>
      </c>
      <c r="H13" s="2">
        <v>31.5</v>
      </c>
      <c r="I13" s="2">
        <v>28</v>
      </c>
      <c r="J13" s="190" t="s">
        <v>100</v>
      </c>
      <c r="K13" s="185"/>
      <c r="L13" s="185"/>
      <c r="M13" s="185"/>
      <c r="N13" s="185"/>
      <c r="O13" s="185"/>
      <c r="P13" s="186"/>
      <c r="Q13" s="39"/>
      <c r="V13" s="63">
        <f>ROUND(H13,1)</f>
        <v>31.5</v>
      </c>
      <c r="W13" s="63">
        <f t="shared" ref="W13:W16" si="0">ROUND(I13,1)</f>
        <v>28</v>
      </c>
      <c r="Y13" s="63" t="s">
        <v>209</v>
      </c>
      <c r="Z13" s="63" t="s">
        <v>209</v>
      </c>
      <c r="AA13" s="63" t="s">
        <v>209</v>
      </c>
      <c r="AB13" s="63" t="s">
        <v>209</v>
      </c>
      <c r="AC13" s="63" t="s">
        <v>209</v>
      </c>
      <c r="AD13" s="63" t="s">
        <v>209</v>
      </c>
    </row>
    <row r="14" spans="1:32" ht="36.5" customHeight="1" thickTop="1" thickBot="1">
      <c r="A14" s="43"/>
      <c r="B14" s="111" t="s">
        <v>40</v>
      </c>
      <c r="C14" s="111"/>
      <c r="D14" s="111"/>
      <c r="E14" s="111"/>
      <c r="F14" s="111"/>
      <c r="G14" s="52" t="s">
        <v>0</v>
      </c>
      <c r="H14" s="2">
        <v>8</v>
      </c>
      <c r="I14" s="2">
        <v>7</v>
      </c>
      <c r="J14" s="191"/>
      <c r="K14" s="191"/>
      <c r="L14" s="191"/>
      <c r="M14" s="191"/>
      <c r="N14" s="191"/>
      <c r="O14" s="191"/>
      <c r="P14" s="192"/>
      <c r="Q14" s="39"/>
      <c r="V14" s="63">
        <f>ROUND(H14,1)</f>
        <v>8</v>
      </c>
      <c r="W14" s="63">
        <f t="shared" si="0"/>
        <v>7</v>
      </c>
      <c r="Y14" s="63" t="s">
        <v>209</v>
      </c>
      <c r="Z14" s="63" t="s">
        <v>209</v>
      </c>
      <c r="AA14" s="63" t="s">
        <v>209</v>
      </c>
      <c r="AB14" s="63" t="s">
        <v>209</v>
      </c>
      <c r="AC14" s="63" t="s">
        <v>209</v>
      </c>
      <c r="AD14" s="63" t="s">
        <v>209</v>
      </c>
    </row>
    <row r="15" spans="1:32" ht="33.5" customHeight="1" thickTop="1" thickBot="1">
      <c r="A15" s="43"/>
      <c r="B15" s="115" t="s">
        <v>41</v>
      </c>
      <c r="C15" s="115"/>
      <c r="D15" s="115"/>
      <c r="E15" s="115"/>
      <c r="F15" s="115"/>
      <c r="G15" s="52" t="s">
        <v>8</v>
      </c>
      <c r="H15" s="2">
        <v>16</v>
      </c>
      <c r="I15" s="2">
        <v>21</v>
      </c>
      <c r="J15" s="185" t="str">
        <f>"※地中熱ヒートポンプの熱源水入口・出口温度の設計値を入力する。小数点以下2桁を四捨五入して入力する。"
&amp;IF($H$16&gt;=$H$15,CHAR(10) &amp; "※Ti,h ＞ To,h となるように入力してください","")
&amp;IF($I$15&gt;=$I$16,CHAR(10) &amp; "※Ti,c ＜ To,c となるように入力してください","")</f>
        <v>※地中熱ヒートポンプの熱源水入口・出口温度の設計値を入力する。小数点以下2桁を四捨五入して入力する。</v>
      </c>
      <c r="K15" s="185"/>
      <c r="L15" s="185"/>
      <c r="M15" s="185"/>
      <c r="N15" s="185"/>
      <c r="O15" s="185"/>
      <c r="P15" s="186"/>
      <c r="V15" s="63">
        <f>ROUND(H15,1)</f>
        <v>16</v>
      </c>
      <c r="W15" s="63">
        <f t="shared" si="0"/>
        <v>21</v>
      </c>
      <c r="Y15" s="63" t="s">
        <v>209</v>
      </c>
      <c r="Z15" s="63" t="s">
        <v>209</v>
      </c>
      <c r="AA15" s="63" t="s">
        <v>209</v>
      </c>
      <c r="AB15" s="63" t="s">
        <v>209</v>
      </c>
      <c r="AC15" s="63" t="s">
        <v>209</v>
      </c>
      <c r="AD15" s="63" t="s">
        <v>209</v>
      </c>
    </row>
    <row r="16" spans="1:32" ht="33.5" customHeight="1" thickTop="1" thickBot="1">
      <c r="A16" s="43"/>
      <c r="B16" s="142" t="s">
        <v>98</v>
      </c>
      <c r="C16" s="142"/>
      <c r="D16" s="142"/>
      <c r="E16" s="142"/>
      <c r="F16" s="142"/>
      <c r="G16" s="66" t="s">
        <v>8</v>
      </c>
      <c r="H16" s="2">
        <v>12</v>
      </c>
      <c r="I16" s="2">
        <v>27</v>
      </c>
      <c r="J16" s="181"/>
      <c r="K16" s="181"/>
      <c r="L16" s="181"/>
      <c r="M16" s="181"/>
      <c r="N16" s="181"/>
      <c r="O16" s="181"/>
      <c r="P16" s="187"/>
      <c r="V16" s="63">
        <f>ROUND(H16,1)</f>
        <v>12</v>
      </c>
      <c r="W16" s="63">
        <f t="shared" si="0"/>
        <v>27</v>
      </c>
      <c r="Y16" s="63" t="s">
        <v>209</v>
      </c>
      <c r="Z16" s="63" t="s">
        <v>209</v>
      </c>
      <c r="AA16" s="63" t="s">
        <v>209</v>
      </c>
      <c r="AB16" s="63" t="s">
        <v>209</v>
      </c>
      <c r="AC16" s="63" t="s">
        <v>209</v>
      </c>
      <c r="AD16" s="63" t="s">
        <v>209</v>
      </c>
    </row>
    <row r="17" spans="1:30" ht="33.5" customHeight="1" thickTop="1" thickBot="1">
      <c r="A17" s="43"/>
      <c r="B17" s="101" t="s">
        <v>9</v>
      </c>
      <c r="C17" s="101"/>
      <c r="D17" s="101"/>
      <c r="E17" s="101"/>
      <c r="F17" s="101"/>
      <c r="G17" s="101"/>
      <c r="H17" s="102"/>
      <c r="I17" s="102"/>
      <c r="J17" s="110" t="s">
        <v>47</v>
      </c>
      <c r="K17" s="104"/>
      <c r="L17" s="104"/>
      <c r="M17" s="104"/>
      <c r="N17" s="104"/>
      <c r="O17" s="104"/>
      <c r="P17" s="104"/>
      <c r="Q17" s="39"/>
      <c r="Y17" s="63" t="s">
        <v>209</v>
      </c>
      <c r="Z17" s="63" t="s">
        <v>209</v>
      </c>
      <c r="AA17" s="63" t="s">
        <v>209</v>
      </c>
      <c r="AB17" s="63" t="s">
        <v>209</v>
      </c>
      <c r="AC17" s="63" t="s">
        <v>209</v>
      </c>
      <c r="AD17" s="63" t="s">
        <v>209</v>
      </c>
    </row>
    <row r="18" spans="1:30" ht="33.5" customHeight="1" thickTop="1" thickBot="1">
      <c r="A18" s="43"/>
      <c r="B18" s="117" t="s">
        <v>42</v>
      </c>
      <c r="C18" s="118"/>
      <c r="D18" s="118"/>
      <c r="E18" s="118"/>
      <c r="F18" s="119"/>
      <c r="G18" s="52" t="s">
        <v>0</v>
      </c>
      <c r="H18" s="170">
        <f>IF(①記入例!H20="","",①記入例!H20)</f>
        <v>0.75</v>
      </c>
      <c r="I18" s="170"/>
      <c r="J18" s="124" t="s">
        <v>72</v>
      </c>
      <c r="K18" s="157"/>
      <c r="L18" s="157"/>
      <c r="M18" s="157"/>
      <c r="N18" s="157"/>
      <c r="O18" s="157"/>
      <c r="P18" s="157"/>
      <c r="Q18" s="39"/>
      <c r="V18" s="63">
        <f xml:space="preserve"> IF(H18&lt;=0,0,ROUND(H18, 2-INT(LOG(ABS(H18))))
)</f>
        <v>0.75</v>
      </c>
      <c r="Y18" s="63" t="s">
        <v>209</v>
      </c>
      <c r="Z18" s="63" t="s">
        <v>209</v>
      </c>
      <c r="AA18" s="63" t="s">
        <v>209</v>
      </c>
      <c r="AB18" s="63" t="s">
        <v>209</v>
      </c>
      <c r="AC18" s="63" t="s">
        <v>209</v>
      </c>
      <c r="AD18" s="63" t="s">
        <v>209</v>
      </c>
    </row>
    <row r="19" spans="1:30" ht="33.5" customHeight="1" thickTop="1" thickBot="1">
      <c r="A19" s="43"/>
      <c r="B19" s="121" t="s">
        <v>43</v>
      </c>
      <c r="C19" s="122"/>
      <c r="D19" s="122"/>
      <c r="E19" s="122"/>
      <c r="F19" s="123"/>
      <c r="G19" s="52" t="str">
        <f>$G$11</f>
        <v>[L/min]</v>
      </c>
      <c r="H19" s="170">
        <f>IF(①記入例!H21="","",①記入例!H21)</f>
        <v>50</v>
      </c>
      <c r="I19" s="170"/>
      <c r="J19" s="124"/>
      <c r="K19" s="157"/>
      <c r="L19" s="157"/>
      <c r="M19" s="157"/>
      <c r="N19" s="157"/>
      <c r="O19" s="157"/>
      <c r="P19" s="157"/>
      <c r="Q19" s="39"/>
      <c r="V19" s="63">
        <f xml:space="preserve"> ROUND(H19, 2-INT(LOG(ABS(H19))))</f>
        <v>50</v>
      </c>
      <c r="Y19" s="63" t="s">
        <v>209</v>
      </c>
      <c r="Z19" s="63" t="s">
        <v>209</v>
      </c>
      <c r="AA19" s="63" t="s">
        <v>209</v>
      </c>
      <c r="AB19" s="63" t="s">
        <v>209</v>
      </c>
      <c r="AC19" s="63" t="s">
        <v>209</v>
      </c>
      <c r="AD19" s="63" t="s">
        <v>209</v>
      </c>
    </row>
    <row r="20" spans="1:30" ht="33.5" customHeight="1" thickTop="1" thickBot="1">
      <c r="A20" s="43"/>
      <c r="B20" s="117" t="s">
        <v>44</v>
      </c>
      <c r="C20" s="118"/>
      <c r="D20" s="118"/>
      <c r="E20" s="118"/>
      <c r="F20" s="119"/>
      <c r="G20" s="52" t="s">
        <v>0</v>
      </c>
      <c r="H20" s="170">
        <f>IF(①記入例!H23="","",①記入例!H23)</f>
        <v>0.4</v>
      </c>
      <c r="I20" s="170"/>
      <c r="J20" s="124" t="s">
        <v>73</v>
      </c>
      <c r="K20" s="157"/>
      <c r="L20" s="157"/>
      <c r="M20" s="157"/>
      <c r="N20" s="157"/>
      <c r="O20" s="157"/>
      <c r="P20" s="157"/>
      <c r="Q20" s="39"/>
      <c r="V20" s="63">
        <f xml:space="preserve"> ROUND(H20, 2-INT(LOG(ABS(H20))))</f>
        <v>0.4</v>
      </c>
      <c r="Z20" s="63" t="s">
        <v>209</v>
      </c>
      <c r="AA20" s="63" t="s">
        <v>209</v>
      </c>
      <c r="AB20" s="63" t="s">
        <v>209</v>
      </c>
      <c r="AC20" s="63" t="s">
        <v>209</v>
      </c>
      <c r="AD20" s="63" t="s">
        <v>209</v>
      </c>
    </row>
    <row r="21" spans="1:30" ht="33.5" customHeight="1" thickTop="1" thickBot="1">
      <c r="A21" s="43"/>
      <c r="B21" s="121" t="s">
        <v>45</v>
      </c>
      <c r="C21" s="122"/>
      <c r="D21" s="122"/>
      <c r="E21" s="122"/>
      <c r="F21" s="123"/>
      <c r="G21" s="52" t="str">
        <f>$G$11</f>
        <v>[L/min]</v>
      </c>
      <c r="H21" s="170">
        <f>IF(①記入例!H24="","",①記入例!H24)</f>
        <v>100</v>
      </c>
      <c r="I21" s="170"/>
      <c r="J21" s="124"/>
      <c r="K21" s="157"/>
      <c r="L21" s="157"/>
      <c r="M21" s="157"/>
      <c r="N21" s="157"/>
      <c r="O21" s="157"/>
      <c r="P21" s="157"/>
      <c r="Q21" s="39"/>
      <c r="V21" s="63">
        <f xml:space="preserve"> ROUND(H21, 2-INT(LOG(ABS(H21))))</f>
        <v>100</v>
      </c>
      <c r="Z21" s="63" t="s">
        <v>209</v>
      </c>
      <c r="AA21" s="63" t="s">
        <v>209</v>
      </c>
      <c r="AB21" s="63" t="s">
        <v>209</v>
      </c>
      <c r="AC21" s="63" t="s">
        <v>209</v>
      </c>
      <c r="AD21" s="63" t="s">
        <v>209</v>
      </c>
    </row>
    <row r="22" spans="1:30" ht="33.5" customHeight="1" thickTop="1" thickBot="1">
      <c r="A22" s="43"/>
      <c r="B22" s="117" t="s">
        <v>46</v>
      </c>
      <c r="C22" s="118"/>
      <c r="D22" s="118"/>
      <c r="E22" s="118"/>
      <c r="F22" s="119"/>
      <c r="G22" s="52" t="s">
        <v>0</v>
      </c>
      <c r="H22" s="170">
        <f>IF(①記入例!H26="","",①記入例!H26)</f>
        <v>0.4</v>
      </c>
      <c r="I22" s="170"/>
      <c r="J22" s="124" t="s">
        <v>74</v>
      </c>
      <c r="K22" s="157"/>
      <c r="L22" s="157"/>
      <c r="M22" s="157"/>
      <c r="N22" s="157"/>
      <c r="O22" s="157"/>
      <c r="P22" s="157"/>
      <c r="Q22" s="39"/>
      <c r="V22" s="63">
        <f xml:space="preserve"> ROUND(H22, 2-INT(LOG(ABS(H22))))</f>
        <v>0.4</v>
      </c>
      <c r="AC22" s="63" t="s">
        <v>209</v>
      </c>
      <c r="AD22" s="63" t="s">
        <v>209</v>
      </c>
    </row>
    <row r="23" spans="1:30" ht="33.5" customHeight="1" thickTop="1" thickBot="1">
      <c r="A23" s="43"/>
      <c r="B23" s="125" t="s">
        <v>48</v>
      </c>
      <c r="C23" s="126"/>
      <c r="D23" s="126"/>
      <c r="E23" s="126"/>
      <c r="F23" s="126"/>
      <c r="G23" s="127"/>
      <c r="H23" s="65" t="s">
        <v>7</v>
      </c>
      <c r="I23" s="65" t="s">
        <v>6</v>
      </c>
      <c r="J23" s="178" t="str">
        <f>"※熱交換器の一次側流体(井水側)、二次側流体(地中熱ヒートポンプ側)の入口・出口温度の設計値を入力する。小数点以下2桁を四捨五入して入力する。"
&amp;IF($H$25&lt;$H$24,"",CHAR(10) &amp; "※T1i,h &gt; T1o,h となるように入力してください")
&amp;IF($H$26&lt;$H$27,"",CHAR(10) &amp; "※T2o,h &gt; T2i,h となるように入力してください")
&amp;IF($I$25&gt;$I$24,"",CHAR(10) &amp; "※T1i,c &lt; T1o,c となるように入力してください")
&amp;IF($I$26&gt;$I$27,"",CHAR(10) &amp; "※T2i,c &gt; T2o,c となるように入力してください")
&amp;IF($H$27&lt;$H$24,"",CHAR(10) &amp; "※T1i,h &gt; T2o,h となるように入力してください")
&amp;IF($H$26&lt;$H$25,"",CHAR(10) &amp; "※T1o,h &gt; T2i,h となるように入力してください")
&amp;IF($I$27&gt;$I$24,"",CHAR(10) &amp; "※T1i,c &lt; T2o,c となるように入力してください")
&amp;IF($I$26&gt;$I$25,"",CHAR(10) &amp; "※T1o,c &lt; T2i,c となるように入力してください")</f>
        <v>※熱交換器の一次側流体(井水側)、二次側流体(地中熱ヒートポンプ側)の入口・出口温度の設計値を入力する。小数点以下2桁を四捨五入して入力する。</v>
      </c>
      <c r="K23" s="179"/>
      <c r="L23" s="179"/>
      <c r="M23" s="179"/>
      <c r="N23" s="179"/>
      <c r="O23" s="179"/>
      <c r="P23" s="180"/>
      <c r="Q23" s="39"/>
      <c r="AB23" s="63" t="s">
        <v>209</v>
      </c>
      <c r="AC23" s="63" t="s">
        <v>209</v>
      </c>
      <c r="AD23" s="63" t="s">
        <v>209</v>
      </c>
    </row>
    <row r="24" spans="1:30" ht="33.5" customHeight="1" thickTop="1" thickBot="1">
      <c r="A24" s="43"/>
      <c r="B24" s="115" t="s">
        <v>49</v>
      </c>
      <c r="C24" s="115"/>
      <c r="D24" s="115"/>
      <c r="E24" s="115"/>
      <c r="F24" s="115"/>
      <c r="G24" s="52" t="s">
        <v>8</v>
      </c>
      <c r="H24" s="2">
        <v>18</v>
      </c>
      <c r="I24" s="2">
        <v>18</v>
      </c>
      <c r="J24" s="181"/>
      <c r="K24" s="181"/>
      <c r="L24" s="181"/>
      <c r="M24" s="181"/>
      <c r="N24" s="181"/>
      <c r="O24" s="181"/>
      <c r="P24" s="182"/>
      <c r="Q24" s="39"/>
      <c r="V24" s="63">
        <f>ROUND(H24,1)</f>
        <v>18</v>
      </c>
      <c r="W24" s="63">
        <f t="shared" ref="W24:W27" si="1">ROUND(I24,1)</f>
        <v>18</v>
      </c>
      <c r="AB24" s="63" t="s">
        <v>209</v>
      </c>
      <c r="AC24" s="63" t="s">
        <v>209</v>
      </c>
      <c r="AD24" s="63" t="s">
        <v>209</v>
      </c>
    </row>
    <row r="25" spans="1:30" ht="33.5" customHeight="1" thickTop="1" thickBot="1">
      <c r="A25" s="43"/>
      <c r="B25" s="115" t="s">
        <v>50</v>
      </c>
      <c r="C25" s="115"/>
      <c r="D25" s="115"/>
      <c r="E25" s="115"/>
      <c r="F25" s="115"/>
      <c r="G25" s="52" t="s">
        <v>8</v>
      </c>
      <c r="H25" s="2">
        <v>14</v>
      </c>
      <c r="I25" s="2">
        <v>24</v>
      </c>
      <c r="J25" s="181"/>
      <c r="K25" s="181"/>
      <c r="L25" s="181"/>
      <c r="M25" s="181"/>
      <c r="N25" s="181"/>
      <c r="O25" s="181"/>
      <c r="P25" s="182"/>
      <c r="Q25" s="39"/>
      <c r="V25" s="63">
        <f>ROUND(H25,1)</f>
        <v>14</v>
      </c>
      <c r="W25" s="63">
        <f t="shared" si="1"/>
        <v>24</v>
      </c>
      <c r="AB25" s="63" t="s">
        <v>209</v>
      </c>
      <c r="AC25" s="63" t="s">
        <v>209</v>
      </c>
      <c r="AD25" s="63" t="s">
        <v>209</v>
      </c>
    </row>
    <row r="26" spans="1:30" ht="33.5" customHeight="1" thickTop="1" thickBot="1">
      <c r="A26" s="43"/>
      <c r="B26" s="115" t="s">
        <v>51</v>
      </c>
      <c r="C26" s="115"/>
      <c r="D26" s="115"/>
      <c r="E26" s="115"/>
      <c r="F26" s="115"/>
      <c r="G26" s="52" t="s">
        <v>8</v>
      </c>
      <c r="H26" s="2">
        <v>12</v>
      </c>
      <c r="I26" s="2">
        <v>27</v>
      </c>
      <c r="J26" s="181"/>
      <c r="K26" s="181"/>
      <c r="L26" s="181"/>
      <c r="M26" s="181"/>
      <c r="N26" s="181"/>
      <c r="O26" s="181"/>
      <c r="P26" s="182"/>
      <c r="Q26" s="39"/>
      <c r="V26" s="63">
        <f>ROUND(H26,1)</f>
        <v>12</v>
      </c>
      <c r="W26" s="63">
        <f t="shared" si="1"/>
        <v>27</v>
      </c>
      <c r="AB26" s="63" t="s">
        <v>209</v>
      </c>
      <c r="AC26" s="63" t="s">
        <v>209</v>
      </c>
      <c r="AD26" s="63" t="s">
        <v>209</v>
      </c>
    </row>
    <row r="27" spans="1:30" ht="33.5" customHeight="1" thickTop="1" thickBot="1">
      <c r="A27" s="43"/>
      <c r="B27" s="115" t="s">
        <v>52</v>
      </c>
      <c r="C27" s="115"/>
      <c r="D27" s="115"/>
      <c r="E27" s="115"/>
      <c r="F27" s="115"/>
      <c r="G27" s="52" t="s">
        <v>8</v>
      </c>
      <c r="H27" s="2">
        <v>16</v>
      </c>
      <c r="I27" s="2">
        <v>21</v>
      </c>
      <c r="J27" s="183"/>
      <c r="K27" s="183"/>
      <c r="L27" s="183"/>
      <c r="M27" s="183"/>
      <c r="N27" s="183"/>
      <c r="O27" s="183"/>
      <c r="P27" s="184"/>
      <c r="Q27" s="39"/>
      <c r="V27" s="63">
        <f>ROUND(H27,1)</f>
        <v>16</v>
      </c>
      <c r="W27" s="63">
        <f t="shared" si="1"/>
        <v>21</v>
      </c>
      <c r="AB27" s="63" t="s">
        <v>209</v>
      </c>
      <c r="AC27" s="63" t="s">
        <v>209</v>
      </c>
      <c r="AD27" s="63" t="s">
        <v>209</v>
      </c>
    </row>
    <row r="28" spans="1:30" ht="33.5" customHeight="1" thickTop="1" thickBot="1">
      <c r="B28" s="101" t="s">
        <v>53</v>
      </c>
      <c r="C28" s="101"/>
      <c r="D28" s="101"/>
      <c r="E28" s="101"/>
      <c r="F28" s="101"/>
      <c r="G28" s="101"/>
      <c r="H28" s="102"/>
      <c r="I28" s="102"/>
      <c r="J28" s="110" t="s">
        <v>56</v>
      </c>
      <c r="K28" s="104"/>
      <c r="L28" s="104"/>
      <c r="M28" s="104"/>
      <c r="N28" s="104"/>
      <c r="O28" s="104"/>
      <c r="P28" s="104"/>
      <c r="Z28" s="63" t="s">
        <v>209</v>
      </c>
      <c r="AA28" s="63" t="s">
        <v>209</v>
      </c>
      <c r="AC28" s="63" t="s">
        <v>209</v>
      </c>
      <c r="AD28" s="63" t="s">
        <v>209</v>
      </c>
    </row>
    <row r="29" spans="1:30" ht="33.5" customHeight="1" thickTop="1" thickBot="1">
      <c r="A29" s="43"/>
      <c r="B29" s="121" t="s">
        <v>54</v>
      </c>
      <c r="C29" s="122"/>
      <c r="D29" s="122"/>
      <c r="E29" s="122"/>
      <c r="F29" s="123"/>
      <c r="G29" s="52" t="s">
        <v>15</v>
      </c>
      <c r="H29" s="170">
        <v>21</v>
      </c>
      <c r="I29" s="170"/>
      <c r="J29" s="174" t="str">
        <f>"※井水槽容量の設計値を入力する。小数点以下2桁を四捨五入して入力する。"</f>
        <v>※井水槽容量の設計値を入力する。小数点以下2桁を四捨五入して入力する。</v>
      </c>
      <c r="K29" s="174"/>
      <c r="L29" s="174"/>
      <c r="M29" s="174"/>
      <c r="N29" s="174"/>
      <c r="O29" s="174"/>
      <c r="P29" s="113"/>
      <c r="Q29" s="39"/>
      <c r="V29" s="63">
        <f t="shared" ref="V29:W30" si="2">ROUND(H29,1)</f>
        <v>21</v>
      </c>
      <c r="Z29" s="63" t="s">
        <v>209</v>
      </c>
      <c r="AC29" s="63" t="s">
        <v>209</v>
      </c>
    </row>
    <row r="30" spans="1:30" ht="33.5" customHeight="1" thickTop="1" thickBot="1">
      <c r="A30" s="43"/>
      <c r="B30" s="121" t="s">
        <v>55</v>
      </c>
      <c r="C30" s="122"/>
      <c r="D30" s="122"/>
      <c r="E30" s="122"/>
      <c r="F30" s="123"/>
      <c r="G30" s="52" t="s">
        <v>16</v>
      </c>
      <c r="H30" s="2">
        <v>10</v>
      </c>
      <c r="I30" s="2">
        <v>10</v>
      </c>
      <c r="J30" s="177" t="str">
        <f>"※負荷時間を1日あたりの時間数で入力する。小数点以下2桁を四捨五入して入力する。"</f>
        <v>※負荷時間を1日あたりの時間数で入力する。小数点以下2桁を四捨五入して入力する。</v>
      </c>
      <c r="K30" s="174"/>
      <c r="L30" s="174"/>
      <c r="M30" s="174"/>
      <c r="N30" s="174"/>
      <c r="O30" s="174"/>
      <c r="P30" s="113"/>
      <c r="Q30" s="39"/>
      <c r="V30" s="63">
        <f t="shared" si="2"/>
        <v>10</v>
      </c>
      <c r="W30" s="63">
        <f t="shared" si="2"/>
        <v>10</v>
      </c>
      <c r="Z30" s="63" t="s">
        <v>209</v>
      </c>
      <c r="AC30" s="63" t="s">
        <v>209</v>
      </c>
    </row>
    <row r="31" spans="1:30" ht="33.5" customHeight="1" thickTop="1" thickBot="1">
      <c r="A31" s="43"/>
      <c r="B31" s="125" t="s">
        <v>123</v>
      </c>
      <c r="C31" s="126"/>
      <c r="D31" s="126"/>
      <c r="E31" s="126"/>
      <c r="F31" s="127"/>
      <c r="G31" s="64" t="s">
        <v>31</v>
      </c>
      <c r="H31" s="172" t="s">
        <v>126</v>
      </c>
      <c r="I31" s="172"/>
      <c r="J31" s="173" t="s">
        <v>57</v>
      </c>
      <c r="K31" s="174"/>
      <c r="L31" s="174"/>
      <c r="M31" s="174"/>
      <c r="N31" s="174"/>
      <c r="O31" s="174"/>
      <c r="P31" s="113"/>
      <c r="Q31" s="39"/>
      <c r="Z31" s="63" t="s">
        <v>209</v>
      </c>
      <c r="AA31" s="63" t="s">
        <v>209</v>
      </c>
      <c r="AC31" s="63" t="s">
        <v>209</v>
      </c>
      <c r="AD31" s="63" t="s">
        <v>209</v>
      </c>
    </row>
    <row r="32" spans="1:30" ht="33.5" customHeight="1" thickTop="1" thickBot="1">
      <c r="A32" s="43"/>
      <c r="B32" s="121" t="s">
        <v>124</v>
      </c>
      <c r="C32" s="122"/>
      <c r="D32" s="122"/>
      <c r="E32" s="122"/>
      <c r="F32" s="122"/>
      <c r="G32" s="53" t="s">
        <v>19</v>
      </c>
      <c r="H32" s="170">
        <v>50</v>
      </c>
      <c r="I32" s="170"/>
      <c r="J32" s="175" t="s">
        <v>120</v>
      </c>
      <c r="K32" s="175"/>
      <c r="L32" s="175"/>
      <c r="M32" s="175"/>
      <c r="N32" s="175"/>
      <c r="O32" s="175"/>
      <c r="P32" s="176"/>
      <c r="V32" s="63">
        <f xml:space="preserve"> ROUND(H32, 2-INT(LOG(ABS(H32))))</f>
        <v>50</v>
      </c>
      <c r="Z32" s="63" t="s">
        <v>209</v>
      </c>
      <c r="AA32" s="63" t="s">
        <v>209</v>
      </c>
      <c r="AC32" s="63" t="s">
        <v>209</v>
      </c>
      <c r="AD32" s="63" t="s">
        <v>209</v>
      </c>
    </row>
    <row r="33" spans="1:37" ht="33.5" customHeight="1" thickTop="1" thickBot="1">
      <c r="A33" s="43"/>
      <c r="B33" s="121" t="s">
        <v>125</v>
      </c>
      <c r="C33" s="122"/>
      <c r="D33" s="122"/>
      <c r="E33" s="122"/>
      <c r="F33" s="123"/>
      <c r="G33" s="67" t="s">
        <v>23</v>
      </c>
      <c r="H33" s="170">
        <v>0.04</v>
      </c>
      <c r="I33" s="170"/>
      <c r="J33" s="171" t="s">
        <v>121</v>
      </c>
      <c r="K33" s="157"/>
      <c r="L33" s="157"/>
      <c r="M33" s="157"/>
      <c r="N33" s="157"/>
      <c r="O33" s="157"/>
      <c r="P33" s="157"/>
      <c r="V33" s="63">
        <f xml:space="preserve"> ROUND(H33, 2-INT(LOG(ABS(H33))))</f>
        <v>0.04</v>
      </c>
      <c r="Z33" s="63" t="s">
        <v>209</v>
      </c>
      <c r="AA33" s="63" t="s">
        <v>209</v>
      </c>
      <c r="AC33" s="63" t="s">
        <v>209</v>
      </c>
      <c r="AD33" s="63" t="s">
        <v>209</v>
      </c>
    </row>
    <row r="34" spans="1:37" ht="7.5" hidden="1" customHeight="1" thickTop="1">
      <c r="A34" s="43"/>
      <c r="B34" s="54"/>
      <c r="C34" s="54"/>
      <c r="D34" s="54"/>
      <c r="E34" s="54"/>
      <c r="F34" s="54"/>
      <c r="G34" s="54"/>
      <c r="H34" s="44"/>
      <c r="I34" s="45"/>
      <c r="J34" s="54"/>
      <c r="K34" s="54"/>
      <c r="L34" s="54"/>
      <c r="M34" s="54"/>
      <c r="N34" s="54"/>
      <c r="O34" s="54"/>
      <c r="P34" s="54"/>
      <c r="Q34" s="39"/>
      <c r="Y34" s="63" t="s">
        <v>209</v>
      </c>
      <c r="Z34" s="63" t="s">
        <v>209</v>
      </c>
      <c r="AA34" s="63" t="s">
        <v>209</v>
      </c>
      <c r="AB34" s="63" t="s">
        <v>209</v>
      </c>
      <c r="AC34" s="63" t="s">
        <v>209</v>
      </c>
      <c r="AD34" s="63" t="s">
        <v>209</v>
      </c>
    </row>
    <row r="35" spans="1:37" ht="21.5" hidden="1" customHeight="1">
      <c r="A35" s="43"/>
      <c r="B35" s="55" t="s">
        <v>58</v>
      </c>
      <c r="C35" s="55"/>
      <c r="D35" s="55"/>
      <c r="E35" s="55"/>
      <c r="F35" s="55"/>
      <c r="G35" s="55"/>
      <c r="H35" s="55"/>
      <c r="I35" s="55"/>
      <c r="J35" s="55"/>
      <c r="K35" s="55"/>
      <c r="L35" s="55"/>
      <c r="M35" s="55"/>
      <c r="N35" s="55"/>
      <c r="O35" s="55"/>
      <c r="P35" s="56" t="s">
        <v>68</v>
      </c>
      <c r="Q35" s="39"/>
      <c r="Y35" s="63" t="s">
        <v>209</v>
      </c>
      <c r="Z35" s="63" t="s">
        <v>209</v>
      </c>
      <c r="AA35" s="63" t="s">
        <v>209</v>
      </c>
      <c r="AB35" s="63" t="s">
        <v>209</v>
      </c>
      <c r="AC35" s="63" t="s">
        <v>209</v>
      </c>
      <c r="AD35" s="63" t="s">
        <v>209</v>
      </c>
    </row>
    <row r="36" spans="1:37" ht="20.5" hidden="1" customHeight="1">
      <c r="A36" s="43"/>
      <c r="B36" s="115" t="s">
        <v>27</v>
      </c>
      <c r="C36" s="115"/>
      <c r="D36" s="115"/>
      <c r="E36" s="115"/>
      <c r="F36" s="115"/>
      <c r="G36" s="48" t="s">
        <v>59</v>
      </c>
      <c r="H36" s="116" t="s">
        <v>60</v>
      </c>
      <c r="I36" s="116"/>
      <c r="J36" s="115" t="s">
        <v>96</v>
      </c>
      <c r="K36" s="115"/>
      <c r="L36" s="115"/>
      <c r="M36" s="115"/>
      <c r="N36" s="115"/>
      <c r="O36" s="115"/>
      <c r="P36" s="115"/>
      <c r="Q36" s="39"/>
      <c r="Y36" s="63" t="s">
        <v>209</v>
      </c>
      <c r="Z36" s="63" t="s">
        <v>209</v>
      </c>
      <c r="AA36" s="63" t="s">
        <v>209</v>
      </c>
      <c r="AB36" s="63" t="s">
        <v>209</v>
      </c>
      <c r="AC36" s="63" t="s">
        <v>209</v>
      </c>
      <c r="AD36" s="63" t="s">
        <v>209</v>
      </c>
    </row>
    <row r="37" spans="1:37" ht="48.5" hidden="1" customHeight="1">
      <c r="A37" s="43"/>
      <c r="B37" s="111" t="s">
        <v>61</v>
      </c>
      <c r="C37" s="111"/>
      <c r="D37" s="111"/>
      <c r="E37" s="111"/>
      <c r="F37" s="111"/>
      <c r="G37" s="52" t="s">
        <v>0</v>
      </c>
      <c r="H37" s="167">
        <f>IF($V$18&lt;=0,"",$V$18*IF(OR($H$10=$U$2,$H$10=$U$5),1,$V$21/$V$19)
+IF($H$10&lt;&gt;$U$2,$V$20,0)
+IF(OR($H$10=$U$6,$H$10=$U$7),$V$22,0)
)</f>
        <v>2.2999999999999998</v>
      </c>
      <c r="I37" s="167"/>
      <c r="J37" s="113" t="str">
        <f>" W' = "&amp;IF(OR($H$10=$U$2,$H$10=$U$5),"","( V1 / V0 ) × ")&amp;"W0"
&amp;IF($H$10&lt;&gt;$U$2," + W1","")
&amp;IF(OR($H$10=$U$6,$H$10=$U$7)," + W2","")
&amp;IF($V$18&lt;=0,"",CHAR(10) &amp; "      = "&amp;IF(OR($H$10=$U$2,$H$10=$U$5),"","("&amp;$V$21&amp;"/"&amp;$V$19&amp;") × ")&amp;$V$18
&amp;IF($H$10&lt;&gt;$U$2," + "&amp;$V$20,"")
&amp;IF(OR($H$10=$U$6,$H$10=$U$7)," + "&amp;$V$22,"")&amp;" = "&amp;$H$37&amp;" "&amp;$G$37)
&amp;CHAR(10)&amp;"※W'は小数点以下2桁で四捨五入する。"</f>
        <v xml:space="preserve"> W' = ( V1 / V0 ) × W0 + W1 + W2
      = (100/50) × 0.75 + 0.4 + 0.4 = 2.3 [kW]
※W'は小数点以下2桁で四捨五入する。</v>
      </c>
      <c r="K37" s="114"/>
      <c r="L37" s="114"/>
      <c r="M37" s="114"/>
      <c r="N37" s="114"/>
      <c r="O37" s="114"/>
      <c r="P37" s="114"/>
      <c r="Q37" s="39"/>
      <c r="Y37" s="63" t="s">
        <v>209</v>
      </c>
      <c r="Z37" s="63" t="s">
        <v>209</v>
      </c>
      <c r="AA37" s="63" t="s">
        <v>209</v>
      </c>
      <c r="AB37" s="63" t="s">
        <v>209</v>
      </c>
      <c r="AC37" s="63" t="s">
        <v>209</v>
      </c>
      <c r="AD37" s="63" t="s">
        <v>209</v>
      </c>
    </row>
    <row r="38" spans="1:37" s="40" customFormat="1" ht="7.5" customHeight="1" thickTop="1">
      <c r="B38" s="42"/>
      <c r="C38" s="42"/>
      <c r="D38" s="42"/>
      <c r="E38" s="42"/>
      <c r="F38" s="42"/>
      <c r="G38" s="42"/>
      <c r="H38" s="42"/>
      <c r="I38" s="68"/>
      <c r="J38" s="42"/>
      <c r="K38" s="42"/>
      <c r="L38" s="42"/>
      <c r="M38" s="42"/>
      <c r="N38" s="42"/>
      <c r="O38" s="42"/>
      <c r="P38" s="42"/>
      <c r="S38" s="69"/>
      <c r="T38" s="69"/>
      <c r="U38" s="69"/>
      <c r="V38" s="69"/>
      <c r="W38" s="69"/>
      <c r="X38" s="69"/>
      <c r="Y38" s="69" t="s">
        <v>209</v>
      </c>
      <c r="Z38" s="69" t="s">
        <v>209</v>
      </c>
      <c r="AA38" s="69" t="s">
        <v>209</v>
      </c>
      <c r="AB38" s="69" t="s">
        <v>209</v>
      </c>
      <c r="AC38" s="69" t="s">
        <v>209</v>
      </c>
      <c r="AD38" s="69" t="s">
        <v>209</v>
      </c>
      <c r="AE38" s="69"/>
      <c r="AF38" s="69"/>
      <c r="AG38" s="69"/>
      <c r="AH38" s="69"/>
      <c r="AI38" s="69"/>
      <c r="AJ38" s="69"/>
      <c r="AK38" s="69"/>
    </row>
    <row r="39" spans="1:37" ht="30" customHeight="1">
      <c r="B39" s="70" t="s">
        <v>122</v>
      </c>
      <c r="D39" s="43"/>
      <c r="E39" s="71" t="str">
        <f ca="1">IF(COUNTIF(AE55:AF60,"NG")&gt;0,"NG",IF(COUNTIF(AE55:AF60,"OK")&gt;0,"OK",""))</f>
        <v>OK</v>
      </c>
      <c r="F39" s="121" t="s">
        <v>190</v>
      </c>
      <c r="G39" s="122"/>
      <c r="H39" s="122"/>
      <c r="I39" s="122"/>
      <c r="J39" s="122"/>
      <c r="K39" s="122"/>
      <c r="L39" s="122"/>
      <c r="M39" s="122"/>
      <c r="N39" s="122"/>
      <c r="O39" s="122"/>
      <c r="P39" s="123"/>
      <c r="Q39" s="39"/>
      <c r="Y39" s="63" t="s">
        <v>209</v>
      </c>
      <c r="Z39" s="63" t="s">
        <v>209</v>
      </c>
      <c r="AA39" s="63" t="s">
        <v>209</v>
      </c>
      <c r="AB39" s="63" t="s">
        <v>209</v>
      </c>
      <c r="AC39" s="63" t="s">
        <v>209</v>
      </c>
      <c r="AD39" s="63" t="s">
        <v>209</v>
      </c>
    </row>
    <row r="40" spans="1:37" s="44" customFormat="1" ht="8.5" customHeight="1">
      <c r="I40" s="45"/>
      <c r="S40" s="72"/>
      <c r="T40" s="72"/>
      <c r="U40" s="72"/>
      <c r="V40" s="72"/>
      <c r="W40" s="72"/>
      <c r="X40" s="72"/>
      <c r="Y40" s="72" t="s">
        <v>209</v>
      </c>
      <c r="Z40" s="72" t="s">
        <v>209</v>
      </c>
      <c r="AA40" s="72" t="s">
        <v>209</v>
      </c>
      <c r="AB40" s="72" t="s">
        <v>209</v>
      </c>
      <c r="AC40" s="72" t="s">
        <v>209</v>
      </c>
      <c r="AD40" s="72" t="s">
        <v>209</v>
      </c>
      <c r="AE40" s="72"/>
      <c r="AF40" s="72"/>
      <c r="AG40" s="72"/>
      <c r="AH40" s="72"/>
      <c r="AI40" s="72"/>
      <c r="AJ40" s="72"/>
      <c r="AK40" s="72"/>
    </row>
    <row r="41" spans="1:37" ht="46" customHeight="1">
      <c r="E41" s="33"/>
      <c r="I41" s="34"/>
      <c r="Y41" s="63" t="s">
        <v>209</v>
      </c>
      <c r="Z41" s="63" t="s">
        <v>209</v>
      </c>
      <c r="AA41" s="63" t="s">
        <v>209</v>
      </c>
      <c r="AB41" s="63" t="s">
        <v>209</v>
      </c>
      <c r="AC41" s="63" t="s">
        <v>209</v>
      </c>
      <c r="AD41" s="63" t="s">
        <v>209</v>
      </c>
    </row>
    <row r="42" spans="1:37" ht="25.5" customHeight="1">
      <c r="E42" s="33"/>
      <c r="I42" s="34"/>
      <c r="Y42" s="63" t="s">
        <v>209</v>
      </c>
      <c r="Z42" s="63" t="s">
        <v>209</v>
      </c>
      <c r="AA42" s="63" t="s">
        <v>209</v>
      </c>
      <c r="AB42" s="63" t="s">
        <v>209</v>
      </c>
      <c r="AC42" s="63" t="s">
        <v>209</v>
      </c>
      <c r="AD42" s="63" t="s">
        <v>209</v>
      </c>
    </row>
    <row r="43" spans="1:37" ht="25" customHeight="1">
      <c r="E43" s="33"/>
      <c r="I43" s="34"/>
      <c r="Y43" s="63" t="s">
        <v>209</v>
      </c>
      <c r="Z43" s="63" t="s">
        <v>209</v>
      </c>
      <c r="AA43" s="63" t="s">
        <v>209</v>
      </c>
      <c r="AB43" s="63" t="s">
        <v>209</v>
      </c>
      <c r="AC43" s="63" t="s">
        <v>209</v>
      </c>
      <c r="AD43" s="63" t="s">
        <v>209</v>
      </c>
    </row>
    <row r="44" spans="1:37" ht="21.5" customHeight="1">
      <c r="E44" s="33"/>
      <c r="I44" s="34"/>
      <c r="Y44" s="63" t="s">
        <v>209</v>
      </c>
      <c r="Z44" s="63" t="s">
        <v>209</v>
      </c>
      <c r="AA44" s="63" t="s">
        <v>209</v>
      </c>
      <c r="AB44" s="63" t="s">
        <v>209</v>
      </c>
      <c r="AC44" s="63" t="s">
        <v>209</v>
      </c>
      <c r="AD44" s="63" t="s">
        <v>209</v>
      </c>
    </row>
    <row r="45" spans="1:37" ht="7.5" customHeight="1">
      <c r="L45" s="40"/>
      <c r="M45" s="40"/>
      <c r="N45" s="40"/>
      <c r="O45" s="40"/>
      <c r="P45" s="40"/>
      <c r="Y45" s="63" t="s">
        <v>209</v>
      </c>
      <c r="Z45" s="63" t="s">
        <v>209</v>
      </c>
      <c r="AA45" s="63" t="s">
        <v>209</v>
      </c>
      <c r="AB45" s="63" t="s">
        <v>209</v>
      </c>
      <c r="AC45" s="63" t="s">
        <v>209</v>
      </c>
      <c r="AD45" s="63" t="s">
        <v>209</v>
      </c>
    </row>
    <row r="46" spans="1:37" ht="36.5" customHeight="1">
      <c r="B46" s="132" t="s">
        <v>128</v>
      </c>
      <c r="C46" s="133"/>
      <c r="D46" s="133"/>
      <c r="E46" s="133"/>
      <c r="F46" s="133"/>
      <c r="G46" s="133"/>
      <c r="H46" s="133"/>
      <c r="I46" s="133"/>
      <c r="J46" s="134"/>
      <c r="K46" s="38" t="s">
        <v>25</v>
      </c>
      <c r="L46" s="168" t="str">
        <f>IF(L2="","",L2)</f>
        <v>2020/○/○</v>
      </c>
      <c r="M46" s="168"/>
      <c r="N46" s="168"/>
      <c r="O46" s="168"/>
      <c r="P46" s="168"/>
      <c r="Q46" s="39"/>
      <c r="Y46" s="63" t="s">
        <v>209</v>
      </c>
      <c r="Z46" s="63" t="s">
        <v>209</v>
      </c>
      <c r="AA46" s="63" t="s">
        <v>209</v>
      </c>
      <c r="AB46" s="63" t="s">
        <v>209</v>
      </c>
      <c r="AC46" s="63" t="s">
        <v>209</v>
      </c>
      <c r="AD46" s="63" t="s">
        <v>209</v>
      </c>
    </row>
    <row r="47" spans="1:37" ht="28" customHeight="1">
      <c r="B47" s="138" t="s">
        <v>93</v>
      </c>
      <c r="C47" s="139"/>
      <c r="D47" s="139"/>
      <c r="E47" s="139"/>
      <c r="F47" s="139"/>
      <c r="G47" s="139"/>
      <c r="H47" s="139"/>
      <c r="I47" s="139"/>
      <c r="J47" s="140"/>
      <c r="K47" s="38" t="s">
        <v>24</v>
      </c>
      <c r="L47" s="169" t="str">
        <f>IF(L3="","",L3)</f>
        <v>○○株式会社　○○</v>
      </c>
      <c r="M47" s="169"/>
      <c r="N47" s="169"/>
      <c r="O47" s="169"/>
      <c r="P47" s="169"/>
      <c r="Q47" s="39"/>
      <c r="Y47" s="63" t="s">
        <v>209</v>
      </c>
      <c r="Z47" s="63" t="s">
        <v>209</v>
      </c>
      <c r="AA47" s="63" t="s">
        <v>209</v>
      </c>
      <c r="AB47" s="63" t="s">
        <v>209</v>
      </c>
      <c r="AC47" s="63" t="s">
        <v>209</v>
      </c>
      <c r="AD47" s="63" t="s">
        <v>209</v>
      </c>
    </row>
    <row r="48" spans="1:37" ht="5" customHeight="1">
      <c r="B48" s="40"/>
      <c r="C48" s="40"/>
      <c r="D48" s="40"/>
      <c r="E48" s="41"/>
      <c r="F48" s="40"/>
      <c r="G48" s="40"/>
      <c r="H48" s="40"/>
      <c r="I48" s="40"/>
      <c r="J48" s="40"/>
      <c r="K48" s="40"/>
      <c r="L48" s="42"/>
      <c r="M48" s="42"/>
      <c r="N48" s="42"/>
      <c r="O48" s="42"/>
      <c r="P48" s="42"/>
      <c r="Y48" s="63" t="s">
        <v>209</v>
      </c>
      <c r="Z48" s="63" t="s">
        <v>209</v>
      </c>
      <c r="AA48" s="63" t="s">
        <v>209</v>
      </c>
      <c r="AB48" s="63" t="s">
        <v>209</v>
      </c>
      <c r="AC48" s="63" t="s">
        <v>209</v>
      </c>
      <c r="AD48" s="63" t="s">
        <v>209</v>
      </c>
    </row>
    <row r="49" spans="1:32" ht="16" customHeight="1">
      <c r="A49" s="43"/>
      <c r="B49" s="142" t="s">
        <v>26</v>
      </c>
      <c r="C49" s="142"/>
      <c r="D49" s="142"/>
      <c r="E49" s="142"/>
      <c r="F49" s="142"/>
      <c r="G49" s="142"/>
      <c r="H49" s="142" t="s">
        <v>63</v>
      </c>
      <c r="I49" s="142"/>
      <c r="J49" s="142"/>
      <c r="K49" s="142"/>
      <c r="L49" s="142"/>
      <c r="M49" s="142"/>
      <c r="N49" s="142"/>
      <c r="O49" s="142"/>
      <c r="P49" s="142"/>
      <c r="Q49" s="39"/>
      <c r="Y49" s="63" t="s">
        <v>209</v>
      </c>
      <c r="Z49" s="63" t="s">
        <v>209</v>
      </c>
      <c r="AA49" s="63" t="s">
        <v>209</v>
      </c>
      <c r="AB49" s="63" t="s">
        <v>209</v>
      </c>
      <c r="AC49" s="63" t="s">
        <v>209</v>
      </c>
      <c r="AD49" s="63" t="s">
        <v>209</v>
      </c>
    </row>
    <row r="50" spans="1:32" ht="25" customHeight="1">
      <c r="A50" s="43"/>
      <c r="B50" s="115" t="str">
        <f>IF(B6="","",B6)</f>
        <v>○○事務所</v>
      </c>
      <c r="C50" s="115"/>
      <c r="D50" s="115"/>
      <c r="E50" s="115"/>
      <c r="F50" s="115"/>
      <c r="G50" s="115"/>
      <c r="H50" s="101" t="str">
        <f>IF(H6="","",H6)</f>
        <v>AC01</v>
      </c>
      <c r="I50" s="101"/>
      <c r="J50" s="101"/>
      <c r="K50" s="101"/>
      <c r="L50" s="101"/>
      <c r="M50" s="101"/>
      <c r="N50" s="101"/>
      <c r="O50" s="101"/>
      <c r="P50" s="101"/>
      <c r="Q50" s="39"/>
      <c r="Y50" s="63" t="s">
        <v>209</v>
      </c>
      <c r="Z50" s="63" t="s">
        <v>209</v>
      </c>
      <c r="AA50" s="63" t="s">
        <v>209</v>
      </c>
      <c r="AB50" s="63" t="s">
        <v>209</v>
      </c>
      <c r="AC50" s="63" t="s">
        <v>209</v>
      </c>
      <c r="AD50" s="63" t="s">
        <v>209</v>
      </c>
    </row>
    <row r="51" spans="1:32" ht="7.5" customHeight="1">
      <c r="B51" s="44"/>
      <c r="C51" s="44"/>
      <c r="D51" s="44"/>
      <c r="E51" s="45"/>
      <c r="F51" s="44"/>
      <c r="G51" s="44"/>
      <c r="H51" s="44"/>
      <c r="I51" s="44"/>
      <c r="J51" s="44"/>
      <c r="K51" s="44"/>
      <c r="L51" s="44"/>
      <c r="M51" s="44"/>
      <c r="N51" s="44"/>
      <c r="O51" s="44"/>
      <c r="P51" s="44"/>
      <c r="Y51" s="63" t="s">
        <v>209</v>
      </c>
      <c r="Z51" s="63" t="s">
        <v>209</v>
      </c>
      <c r="AA51" s="63" t="s">
        <v>209</v>
      </c>
      <c r="AB51" s="63" t="s">
        <v>209</v>
      </c>
      <c r="AC51" s="63" t="s">
        <v>209</v>
      </c>
      <c r="AD51" s="63" t="s">
        <v>209</v>
      </c>
    </row>
    <row r="52" spans="1:32" ht="15.65" customHeight="1">
      <c r="B52" s="73" t="s">
        <v>62</v>
      </c>
      <c r="C52" s="40"/>
      <c r="D52" s="40"/>
      <c r="E52" s="40"/>
      <c r="F52" s="40"/>
      <c r="G52" s="40"/>
      <c r="H52" s="40"/>
      <c r="I52" s="41"/>
      <c r="J52" s="40"/>
      <c r="K52" s="40"/>
      <c r="L52" s="40"/>
      <c r="M52" s="40"/>
      <c r="N52" s="40"/>
      <c r="O52" s="40"/>
      <c r="P52" s="74" t="s">
        <v>191</v>
      </c>
      <c r="Y52" s="63" t="s">
        <v>209</v>
      </c>
      <c r="Z52" s="63" t="s">
        <v>209</v>
      </c>
      <c r="AA52" s="63" t="s">
        <v>209</v>
      </c>
      <c r="AB52" s="63" t="s">
        <v>209</v>
      </c>
      <c r="AC52" s="63" t="s">
        <v>209</v>
      </c>
      <c r="AD52" s="63" t="s">
        <v>209</v>
      </c>
    </row>
    <row r="53" spans="1:32" ht="17.5" customHeight="1">
      <c r="A53" s="43"/>
      <c r="B53" s="159" t="s">
        <v>27</v>
      </c>
      <c r="C53" s="160"/>
      <c r="D53" s="160"/>
      <c r="E53" s="160"/>
      <c r="F53" s="160"/>
      <c r="G53" s="161"/>
      <c r="H53" s="165" t="s">
        <v>95</v>
      </c>
      <c r="I53" s="166"/>
      <c r="J53" s="159" t="s">
        <v>101</v>
      </c>
      <c r="K53" s="160"/>
      <c r="L53" s="160"/>
      <c r="M53" s="160"/>
      <c r="N53" s="160"/>
      <c r="O53" s="160"/>
      <c r="P53" s="161"/>
      <c r="Q53" s="39"/>
      <c r="Y53" s="63" t="s">
        <v>209</v>
      </c>
      <c r="Z53" s="63" t="s">
        <v>209</v>
      </c>
      <c r="AA53" s="63" t="s">
        <v>209</v>
      </c>
      <c r="AB53" s="63" t="s">
        <v>209</v>
      </c>
      <c r="AC53" s="63" t="s">
        <v>209</v>
      </c>
      <c r="AD53" s="63" t="s">
        <v>209</v>
      </c>
    </row>
    <row r="54" spans="1:32" ht="17.5" customHeight="1">
      <c r="A54" s="43"/>
      <c r="B54" s="162"/>
      <c r="C54" s="163"/>
      <c r="D54" s="163"/>
      <c r="E54" s="163"/>
      <c r="F54" s="163"/>
      <c r="G54" s="164"/>
      <c r="H54" s="65" t="s">
        <v>7</v>
      </c>
      <c r="I54" s="65" t="s">
        <v>6</v>
      </c>
      <c r="J54" s="162"/>
      <c r="K54" s="163"/>
      <c r="L54" s="163"/>
      <c r="M54" s="163"/>
      <c r="N54" s="163"/>
      <c r="O54" s="163"/>
      <c r="P54" s="164"/>
      <c r="Q54" s="39"/>
      <c r="Y54" s="63" t="s">
        <v>209</v>
      </c>
      <c r="Z54" s="63" t="s">
        <v>209</v>
      </c>
      <c r="AA54" s="63" t="s">
        <v>209</v>
      </c>
      <c r="AB54" s="63" t="s">
        <v>209</v>
      </c>
      <c r="AC54" s="63" t="s">
        <v>209</v>
      </c>
      <c r="AD54" s="63" t="s">
        <v>209</v>
      </c>
    </row>
    <row r="55" spans="1:32" ht="30.5" customHeight="1">
      <c r="A55" s="43"/>
      <c r="B55" s="125" t="s">
        <v>65</v>
      </c>
      <c r="C55" s="126"/>
      <c r="D55" s="126"/>
      <c r="E55" s="126"/>
      <c r="F55" s="126"/>
      <c r="G55" s="127"/>
      <c r="H55" s="158" t="str">
        <f ca="1">IF(ISNA($V$55),"",
IF(INDIRECT(ADDRESS(ROW(H55),$V$55))="○",
IF(OR(H11&lt;=0,H69=""),"",IF(H11&gt;=H69,"OK","NG")),"OK")
)</f>
        <v>OK</v>
      </c>
      <c r="I55" s="158"/>
      <c r="J55" s="101" t="str">
        <f ca="1">IF(OR(H11&lt;=0,H69=""),"",
IF($V$11&gt;=$H$69," Vw=" &amp; $V$11 &amp;" " &amp; $G$69  &amp; " ≧ Vmax＝" &amp;$H$69 &amp;" " &amp; $G$69  &amp; " → OK"," Vw=" &amp; $V$11 &amp;" " &amp; $G$69  &amp; " &lt; Vmax＝" &amp;$H$69  &amp;" " &amp; $G$69 &amp; " → NG")
)</f>
        <v xml:space="preserve"> Vw=50 [L/min] &lt; Vmax＝84.1 [L/min] → NG</v>
      </c>
      <c r="K55" s="101"/>
      <c r="L55" s="101"/>
      <c r="M55" s="101"/>
      <c r="N55" s="101"/>
      <c r="O55" s="101"/>
      <c r="P55" s="101"/>
      <c r="Q55" s="39"/>
      <c r="V55" s="63">
        <f>MATCH($H$10,$Y$12:$AD$12,0)+COLUMN($Y$12)-1</f>
        <v>30</v>
      </c>
      <c r="Y55" s="63" t="s">
        <v>209</v>
      </c>
      <c r="AB55" s="63" t="s">
        <v>209</v>
      </c>
      <c r="AE55" s="63" t="str">
        <f t="shared" ref="AE55:AE60" ca="1" si="3">H55</f>
        <v>OK</v>
      </c>
    </row>
    <row r="56" spans="1:32" ht="30.5" customHeight="1">
      <c r="A56" s="43"/>
      <c r="B56" s="114" t="s">
        <v>64</v>
      </c>
      <c r="C56" s="114"/>
      <c r="D56" s="114"/>
      <c r="E56" s="114"/>
      <c r="F56" s="114"/>
      <c r="G56" s="114"/>
      <c r="H56" s="71" t="str">
        <f ca="1">IF(ISNA($V$55),"",
IF(INDIRECT(ADDRESS(ROW(H56),$V$55))="○",
IF(OR(H73="",H72=""),"",
IF(H73&gt;=H72,"OK","NG")),"OK"))</f>
        <v>OK</v>
      </c>
      <c r="I56" s="71" t="str">
        <f ca="1">IF(ISNA($V$55),"",
IF(INDIRECT(ADDRESS(ROW(I56),$V$55))="○",
IF(OR(I73="",I72=""),"",
IF(I73&gt;=I72,"OK","NG")),"OK"))</f>
        <v>OK</v>
      </c>
      <c r="J56" s="114" t="str">
        <f ca="1">IF(OR($H$56="",$I$56=""),"",
" Ms,h = " &amp; $H$73 &amp; $G$73 &amp; IF($H$73&gt;=$H$72," ≧ "," ＜ ") &amp; "Mwt,h = " &amp; $H$72 &amp; $G$72 &amp; IF($H$73&gt;=$H$72," → OK"," → NG")  &amp;CHAR(10)
&amp; " Ms,c = " &amp; $I$73 &amp; $G$73 &amp; IF($I$73&gt;=$I$72," ≧ "," ＜ ") &amp; "Mwt,c = " &amp;  $I$72 &amp; $G$72 &amp; IF($I$73&gt;=$I$72," → OK"," → NG"))</f>
        <v xml:space="preserve"> Ms,h = 42[m3] ≧ Mwt,h = 20.5[m3] → OK
 Ms,c = 42[m3] ≧ Mwt,c = 20.1[m3] → OK</v>
      </c>
      <c r="K56" s="114"/>
      <c r="L56" s="114"/>
      <c r="M56" s="114"/>
      <c r="N56" s="114"/>
      <c r="O56" s="114"/>
      <c r="P56" s="114"/>
      <c r="Q56" s="39"/>
      <c r="Z56" s="63" t="s">
        <v>209</v>
      </c>
      <c r="AC56" s="63" t="s">
        <v>209</v>
      </c>
      <c r="AE56" s="63" t="str">
        <f t="shared" ca="1" si="3"/>
        <v>OK</v>
      </c>
      <c r="AF56" s="63" t="str">
        <f ca="1">I56</f>
        <v>OK</v>
      </c>
    </row>
    <row r="57" spans="1:32" ht="30.5" customHeight="1">
      <c r="A57" s="43"/>
      <c r="B57" s="114" t="s">
        <v>67</v>
      </c>
      <c r="C57" s="114"/>
      <c r="D57" s="114"/>
      <c r="E57" s="114"/>
      <c r="F57" s="114"/>
      <c r="G57" s="114"/>
      <c r="H57" s="71" t="str">
        <f ca="1">IF(ISNA($V$55),"",
IF(INDIRECT(ADDRESS(ROW(H57),$V$55))="○",
IF(OR(H29="",H72=""),"",
IF(H29&gt;=H72,"OK","NG")),"OK"))</f>
        <v>OK</v>
      </c>
      <c r="I57" s="71" t="str">
        <f ca="1">IF(ISNA($V$55),"",
IF(INDIRECT(ADDRESS(ROW(I57),$V$55))="○",
IF(OR(H29="",I72=""),"",
IF(H29&gt;=I72,"OK","NG")),"OK"))</f>
        <v>OK</v>
      </c>
      <c r="J57" s="114" t="str">
        <f ca="1">IF(OR($H$57="",$I$57=""),"",
 " Mwt = " &amp; $V$29 &amp; " " &amp; $G$29 &amp; IF($V$29&gt;=$H$72," ≧ "," ＜ ") &amp; "Mwt,h = " &amp; $H$72 &amp; " " &amp; $G$72 &amp; IF($V$29&gt;=$H$72," → OK"," → NG")  &amp;CHAR(10)
&amp; " Mwt = " &amp; $V$29 &amp; " " &amp; $G$29 &amp; IF($V$29&gt;=$I$72," ≧ "," ＜ ") &amp; "Mwt,c = " &amp; $I$72 &amp; " " &amp; $G$72 &amp; IF($V$29&gt;=$I$72," → OK"," → NG"))</f>
        <v xml:space="preserve"> Mwt = 21 [m3] ≧ Mwt,h = 20.5 [m3] → OK
 Mwt = 21 [m3] ≧ Mwt,c = 20.1 [m3] → OK</v>
      </c>
      <c r="K57" s="114"/>
      <c r="L57" s="114"/>
      <c r="M57" s="114"/>
      <c r="N57" s="114"/>
      <c r="O57" s="114"/>
      <c r="P57" s="114"/>
      <c r="Q57" s="39"/>
      <c r="Z57" s="63" t="s">
        <v>209</v>
      </c>
      <c r="AC57" s="63" t="s">
        <v>209</v>
      </c>
      <c r="AE57" s="63" t="str">
        <f t="shared" ca="1" si="3"/>
        <v>OK</v>
      </c>
      <c r="AF57" s="63" t="str">
        <f ca="1">I57</f>
        <v>OK</v>
      </c>
    </row>
    <row r="58" spans="1:32" ht="30.5" customHeight="1">
      <c r="A58" s="43"/>
      <c r="B58" s="114" t="s">
        <v>66</v>
      </c>
      <c r="C58" s="114"/>
      <c r="D58" s="114"/>
      <c r="E58" s="114"/>
      <c r="F58" s="114"/>
      <c r="G58" s="114"/>
      <c r="H58" s="71" t="str">
        <f ca="1">IF(ISNA($V$55),"",
IF(INDIRECT(ADDRESS(ROW(H58),$V$55))="○",
IF(H75="","",IF(AND(1&lt;=H75,H75&lt;=2),"OK","NG")),"OK"))</f>
        <v>OK</v>
      </c>
      <c r="I58" s="71" t="str">
        <f ca="1">IF(ISNA($V$55),"",
IF(INDIRECT(ADDRESS(ROW(I58),$V$55))="○",
IF(I75="","",IF(AND(1&lt;=I75,I75&lt;=2),"OK","NG")),"OK"))</f>
        <v>OK</v>
      </c>
      <c r="J58" s="114" t="str">
        <f ca="1">IF(OR($H$75="",$I$75=""),"",
 IF($H$75&gt;2," nh = " &amp; $H$75 &amp; " &gt; 2  → NG",IF($H$75&lt;=1," nh = " &amp; $H$75 &amp; " ≦ 1  → NG"," 1 ＜ nh = " &amp; $H$75 &amp; " ≦ 2  → OK"))  &amp;CHAR(10)
&amp; IF($I$75&gt;2," nc = " &amp; $I$75 &amp; " &gt; 2  → NG",IF($I$75&lt;=1," nc = " &amp; $I$75 &amp; " ≦ 1  → NG"," 1 ＜ nc = " &amp; $I$75 &amp; " ≦ 2  → OK")))</f>
        <v xml:space="preserve"> 1 ＜ nh = 1.68 ≦ 2  → OK
 1 ＜ nc = 1.67 ≦ 2  → OK</v>
      </c>
      <c r="K58" s="114"/>
      <c r="L58" s="114"/>
      <c r="M58" s="114"/>
      <c r="N58" s="114"/>
      <c r="O58" s="114"/>
      <c r="P58" s="114"/>
      <c r="Q58" s="39"/>
      <c r="AA58" s="63" t="s">
        <v>209</v>
      </c>
      <c r="AD58" s="63" t="s">
        <v>209</v>
      </c>
      <c r="AE58" s="63" t="str">
        <f t="shared" ca="1" si="3"/>
        <v>OK</v>
      </c>
      <c r="AF58" s="63" t="str">
        <f ca="1">I58</f>
        <v>OK</v>
      </c>
    </row>
    <row r="59" spans="1:32" ht="30.5" customHeight="1">
      <c r="A59" s="43"/>
      <c r="B59" s="157" t="s">
        <v>220</v>
      </c>
      <c r="C59" s="114"/>
      <c r="D59" s="114"/>
      <c r="E59" s="114"/>
      <c r="F59" s="114"/>
      <c r="G59" s="114"/>
      <c r="H59" s="158" t="str">
        <f ca="1">IF(ISNA($V$55),"",
IF(INDIRECT(ADDRESS(ROW(H59),$V$55))="○",
IF($H$77="","",
IF($H$77&gt;=1.1,"OK","NG")),"OK"))</f>
        <v>OK</v>
      </c>
      <c r="I59" s="158"/>
      <c r="J59" s="101" t="str">
        <f ca="1">IF($H$59="","", " Rins = " &amp; $H$77 &amp; IF($H$77&gt;=1.1," ≧ 1.1 "," ＜ 1.1 ") &amp; $G$77 &amp; IF($H$77&gt;=1.1,"  → OK","  → NG"))</f>
        <v xml:space="preserve"> Rins = 1.25 ≧ 1.1 [m2K/W]  → OK</v>
      </c>
      <c r="K59" s="101"/>
      <c r="L59" s="101"/>
      <c r="M59" s="101"/>
      <c r="N59" s="101"/>
      <c r="O59" s="101"/>
      <c r="P59" s="101"/>
      <c r="Q59" s="39"/>
      <c r="Z59" s="63" t="s">
        <v>209</v>
      </c>
      <c r="AA59" s="63" t="s">
        <v>209</v>
      </c>
      <c r="AC59" s="63" t="s">
        <v>209</v>
      </c>
      <c r="AD59" s="63" t="s">
        <v>209</v>
      </c>
      <c r="AE59" s="63" t="str">
        <f t="shared" ca="1" si="3"/>
        <v>OK</v>
      </c>
    </row>
    <row r="60" spans="1:32" ht="30.5" customHeight="1">
      <c r="A60" s="43"/>
      <c r="B60" s="157" t="s">
        <v>78</v>
      </c>
      <c r="C60" s="114"/>
      <c r="D60" s="114"/>
      <c r="E60" s="114"/>
      <c r="F60" s="114"/>
      <c r="G60" s="114"/>
      <c r="H60" s="75" t="str">
        <f ca="1">IF(ISNA($V$55),"",
IF(INDIRECT(ADDRESS(ROW(H60),$V$55))="○",
IF($H$79="","",IF($H$79&lt;=$V$60,"OK","NG")),"OK"))</f>
        <v>OK</v>
      </c>
      <c r="I60" s="75" t="str">
        <f ca="1">IF(ISNA($V$55),"",
IF(INDIRECT(ADDRESS(ROW(I60),$V$55))="○",
IF($I$79="","",IF($I$79&lt;=$W$60,"OK","NG")),"OK"))</f>
        <v>OK</v>
      </c>
      <c r="J60" s="114" t="str">
        <f ca="1">IF(OR($H$60="",$I$60=""),""," ΔTm,h = " &amp; $H$79 &amp; " [℃]" &amp; IF($H$79&lt;=$V$60," ≦ "," ＞ ") &amp; $V$60 &amp; " [℃]  → " &amp; IF($H$79&lt;=$V$60,"OK","NG")  &amp;CHAR(10)
&amp;" ΔTm,c = " &amp; $I$79 &amp; " [℃]" &amp; IF($I$79&lt;=$W$60," ≦ "," ＞ ") &amp; $W$60 &amp; " [℃]  → " &amp; IF($I$79&lt;=$W$60,"OK","NG"))</f>
        <v xml:space="preserve"> ΔTm,h = 2 [℃] ≦ 6 [℃]  → OK
 ΔTm,c = 3 [℃] ≦ 9 [℃]  → OK</v>
      </c>
      <c r="K60" s="114"/>
      <c r="L60" s="114"/>
      <c r="M60" s="114"/>
      <c r="N60" s="114"/>
      <c r="O60" s="114"/>
      <c r="P60" s="114"/>
      <c r="Q60" s="39"/>
      <c r="V60" s="63">
        <v>6</v>
      </c>
      <c r="W60" s="63">
        <v>9</v>
      </c>
      <c r="AB60" s="63" t="s">
        <v>209</v>
      </c>
      <c r="AC60" s="63" t="s">
        <v>209</v>
      </c>
      <c r="AD60" s="63" t="s">
        <v>209</v>
      </c>
      <c r="AE60" s="63" t="str">
        <f t="shared" ca="1" si="3"/>
        <v>OK</v>
      </c>
      <c r="AF60" s="63" t="str">
        <f ca="1">I60</f>
        <v>OK</v>
      </c>
    </row>
    <row r="61" spans="1:32" ht="30.5" hidden="1" customHeight="1">
      <c r="A61" s="43"/>
      <c r="B61" s="151" t="s">
        <v>105</v>
      </c>
      <c r="C61" s="148"/>
      <c r="D61" s="148"/>
      <c r="E61" s="148"/>
      <c r="F61" s="148"/>
      <c r="G61" s="148"/>
      <c r="H61" s="152" t="str">
        <f>IF(OR(H80="",I80="",H80=0,I80=0),"",
IF(AND(0.9&lt;=I80/H80,I80/H80&lt;=1.1),"OK","NG"))</f>
        <v>OK</v>
      </c>
      <c r="I61" s="152"/>
      <c r="J61" s="153" t="str">
        <f xml:space="preserve"> IF($H$61="","",
IF(AND(0.9&lt;=I80/H80,I80/H80&lt;=1.1)," 0.9 ≦ ","")
&amp; " Uc / Uh = " &amp; $I$80 &amp; " / " &amp; $H$80 &amp; " = " &amp; ROUND(I80/H80,3) &amp; IF(I80/H80&lt;0.9," ＜ 0.9  → NG", IF(I80/H80&gt;1.1," ＞ 1.1  → NG"," ≦ 1.1  → OK")))</f>
        <v xml:space="preserve"> 0.9 ≦  Uc / Uh = 11.7 / 11.8 = 0.992 ≦ 1.1  → OK</v>
      </c>
      <c r="K61" s="153"/>
      <c r="L61" s="153"/>
      <c r="M61" s="153"/>
      <c r="N61" s="153"/>
      <c r="O61" s="153"/>
      <c r="P61" s="153"/>
      <c r="Q61" s="39"/>
      <c r="T61" s="63" t="str">
        <f>H61</f>
        <v>OK</v>
      </c>
      <c r="AB61" s="63" t="s">
        <v>209</v>
      </c>
      <c r="AC61" s="63" t="s">
        <v>209</v>
      </c>
      <c r="AD61" s="63" t="s">
        <v>209</v>
      </c>
    </row>
    <row r="62" spans="1:32" ht="10" customHeight="1">
      <c r="E62" s="33"/>
      <c r="I62" s="34"/>
      <c r="J62" s="34"/>
      <c r="Y62" s="63" t="s">
        <v>209</v>
      </c>
      <c r="Z62" s="63" t="s">
        <v>209</v>
      </c>
      <c r="AA62" s="63" t="s">
        <v>209</v>
      </c>
      <c r="AB62" s="63" t="s">
        <v>209</v>
      </c>
      <c r="AC62" s="63" t="s">
        <v>209</v>
      </c>
      <c r="AD62" s="63" t="s">
        <v>209</v>
      </c>
    </row>
    <row r="63" spans="1:32" ht="15.65" customHeight="1">
      <c r="B63" s="40" t="s">
        <v>10</v>
      </c>
      <c r="C63" s="40"/>
      <c r="D63" s="40"/>
      <c r="E63" s="40"/>
      <c r="F63" s="154" t="s">
        <v>94</v>
      </c>
      <c r="G63" s="155"/>
      <c r="H63" s="155"/>
      <c r="I63" s="155"/>
      <c r="J63" s="155"/>
      <c r="K63" s="155"/>
      <c r="L63" s="155"/>
      <c r="M63" s="155"/>
      <c r="N63" s="155"/>
      <c r="O63" s="155"/>
      <c r="P63" s="156"/>
      <c r="Y63" s="63" t="s">
        <v>209</v>
      </c>
      <c r="Z63" s="63" t="s">
        <v>209</v>
      </c>
      <c r="AA63" s="63" t="s">
        <v>209</v>
      </c>
      <c r="AB63" s="63" t="s">
        <v>209</v>
      </c>
      <c r="AC63" s="63" t="s">
        <v>209</v>
      </c>
      <c r="AD63" s="63" t="s">
        <v>209</v>
      </c>
    </row>
    <row r="64" spans="1:32" ht="26.5" customHeight="1">
      <c r="A64" s="43"/>
      <c r="B64" s="115" t="s">
        <v>27</v>
      </c>
      <c r="C64" s="115"/>
      <c r="D64" s="115"/>
      <c r="E64" s="115"/>
      <c r="F64" s="115"/>
      <c r="G64" s="48" t="s">
        <v>59</v>
      </c>
      <c r="H64" s="116" t="s">
        <v>60</v>
      </c>
      <c r="I64" s="116"/>
      <c r="J64" s="115" t="s">
        <v>102</v>
      </c>
      <c r="K64" s="115"/>
      <c r="L64" s="115"/>
      <c r="M64" s="115"/>
      <c r="N64" s="115"/>
      <c r="O64" s="115"/>
      <c r="P64" s="115"/>
      <c r="Y64" s="63" t="s">
        <v>209</v>
      </c>
      <c r="Z64" s="63" t="s">
        <v>209</v>
      </c>
      <c r="AA64" s="63" t="s">
        <v>209</v>
      </c>
      <c r="AB64" s="63" t="s">
        <v>209</v>
      </c>
      <c r="AC64" s="63" t="s">
        <v>209</v>
      </c>
      <c r="AD64" s="63" t="s">
        <v>209</v>
      </c>
    </row>
    <row r="65" spans="1:30" ht="27" customHeight="1">
      <c r="A65" s="43"/>
      <c r="B65" s="125" t="s">
        <v>11</v>
      </c>
      <c r="C65" s="126"/>
      <c r="D65" s="126"/>
      <c r="E65" s="126"/>
      <c r="F65" s="126"/>
      <c r="G65" s="127"/>
      <c r="H65" s="76" t="s">
        <v>7</v>
      </c>
      <c r="I65" s="76" t="s">
        <v>6</v>
      </c>
      <c r="J65" s="115" t="s">
        <v>69</v>
      </c>
      <c r="K65" s="115"/>
      <c r="L65" s="115"/>
      <c r="M65" s="115"/>
      <c r="N65" s="115"/>
      <c r="O65" s="115"/>
      <c r="P65" s="115"/>
      <c r="Y65" s="63" t="s">
        <v>209</v>
      </c>
      <c r="Z65" s="63" t="s">
        <v>209</v>
      </c>
      <c r="AA65" s="63" t="s">
        <v>209</v>
      </c>
      <c r="AB65" s="63" t="s">
        <v>209</v>
      </c>
      <c r="AC65" s="63" t="s">
        <v>209</v>
      </c>
      <c r="AD65" s="63" t="s">
        <v>209</v>
      </c>
    </row>
    <row r="66" spans="1:30" ht="47" customHeight="1">
      <c r="A66" s="43"/>
      <c r="B66" s="111" t="s">
        <v>70</v>
      </c>
      <c r="C66" s="111"/>
      <c r="D66" s="111"/>
      <c r="E66" s="111"/>
      <c r="F66" s="111"/>
      <c r="G66" s="77" t="s">
        <v>8</v>
      </c>
      <c r="H66" s="78">
        <f>IF(ISNA(V66),"",
IF(MATCH($H$10,$U$2:$U$7,0)&lt;=3,IF(OR(H16="",H15="",H16-H15=0),"",V66),IF(OR(H25="",H24="",H25-H24=0),"",V66))
)</f>
        <v>4</v>
      </c>
      <c r="I66" s="78">
        <f>IF(ISNA(W66),"",
IF(MATCH($H$10,$U$2:$U$7,0)&lt;=3,IF(OR(I16="",I15="",I16-I15=0),"",W66),IF(OR(I25="",I24="",I25-I24=0),"",W66))
)</f>
        <v>6</v>
      </c>
      <c r="J66" s="114" t="str">
        <f>IF($H$10="","",
IF(MATCH($H$10,$U$2:$U$7,0)&lt;=3, " ΔTh = Ti,h - To,h"," ΔTh = T1i,h - T1o,h")
&amp; IF(H66="","",IF(MATCH($H$10,$U$2:$U$7,0)&lt;=3, " = " &amp; V15 &amp;" - " &amp; V16," = " &amp; V24 &amp;" - " &amp; V25) &amp; " = " &amp; $H$66 &amp; " " &amp; $G$66) &amp;CHAR(10)
&amp; IF(MATCH($H$10,$U$2:$U$7,0)&lt;=3, " ΔTc = To,c - Ti,c"," ΔTc = Toi,c - T1i,c")
&amp; IF(I66="","",IF(MATCH($H$10,$U$2:$U$7,0)&lt;=3, " = " &amp; W16 &amp;" - " &amp; W15," = " &amp; W25 &amp;" - " &amp; W24) &amp; " = " &amp; $I$66 &amp; " " &amp; $G$66) &amp;CHAR(10))
&amp; "※計算値は小数点以下2桁を四捨五入する。"</f>
        <v xml:space="preserve"> ΔTh = T1i,h - T1o,h = 18 - 14 = 4 [℃]
 ΔTc = Toi,c - T1i,c = 24 - 18 = 6 [℃]
※計算値は小数点以下2桁を四捨五入する。</v>
      </c>
      <c r="K66" s="114"/>
      <c r="L66" s="114"/>
      <c r="M66" s="114"/>
      <c r="N66" s="114"/>
      <c r="O66" s="114"/>
      <c r="P66" s="114"/>
      <c r="Q66" s="39"/>
      <c r="V66" s="63">
        <f>IF(MATCH($H$10,$U$2:$U$7,0)&lt;=3,V16-V15,V25-V24)*Y11</f>
        <v>4</v>
      </c>
      <c r="W66" s="63">
        <f>IF(MATCH($H$10,$U$2:$U$7,0)&lt;=3,W16-W15,W25-W24)*Z11</f>
        <v>6</v>
      </c>
      <c r="Y66" s="63" t="s">
        <v>209</v>
      </c>
      <c r="Z66" s="63" t="s">
        <v>209</v>
      </c>
      <c r="AA66" s="63" t="s">
        <v>209</v>
      </c>
      <c r="AB66" s="63" t="s">
        <v>209</v>
      </c>
      <c r="AC66" s="63" t="s">
        <v>209</v>
      </c>
      <c r="AD66" s="63" t="s">
        <v>209</v>
      </c>
    </row>
    <row r="67" spans="1:30" ht="47" customHeight="1">
      <c r="A67" s="43"/>
      <c r="B67" s="111" t="s">
        <v>71</v>
      </c>
      <c r="C67" s="111"/>
      <c r="D67" s="111"/>
      <c r="E67" s="111"/>
      <c r="F67" s="111"/>
      <c r="G67" s="77" t="s">
        <v>0</v>
      </c>
      <c r="H67" s="79">
        <f xml:space="preserve"> IF(OR(H13="",H14=""),"",ROUND(V67, 1))</f>
        <v>23.5</v>
      </c>
      <c r="I67" s="79">
        <f xml:space="preserve"> IF(OR(I13="",I14=""),"",ROUND(W67, 1))</f>
        <v>35</v>
      </c>
      <c r="J67" s="114" t="str">
        <f xml:space="preserve"> IF(H67="","", " Qh - Wh = " &amp; $V$13 &amp; " - " &amp; $V$14 &amp; " = " &amp; $H$67 &amp; " " &amp; $G$67  &amp;CHAR(10))
&amp; IF(I67="",""," Qc + Wc = " &amp; $W$13 &amp; " + " &amp; $W$14 &amp; " = " &amp; $I$67 &amp; " " &amp; $G$67  &amp;CHAR(10))
&amp; "※計算値は小数点以下2桁を四捨五入する。"</f>
        <v xml:space="preserve"> Qh - Wh = 31.5 - 8 = 23.5 [kW]
 Qc + Wc = 28 + 7 = 35 [kW]
※計算値は小数点以下2桁を四捨五入する。</v>
      </c>
      <c r="K67" s="114"/>
      <c r="L67" s="114"/>
      <c r="M67" s="114"/>
      <c r="N67" s="114"/>
      <c r="O67" s="114"/>
      <c r="P67" s="114"/>
      <c r="Q67" s="39"/>
      <c r="V67" s="63">
        <f>H13+H14*Y11</f>
        <v>23.5</v>
      </c>
      <c r="W67" s="63">
        <f>I13+I14*Z11</f>
        <v>35</v>
      </c>
      <c r="Y67" s="63" t="s">
        <v>209</v>
      </c>
      <c r="Z67" s="63" t="s">
        <v>209</v>
      </c>
      <c r="AA67" s="63" t="s">
        <v>209</v>
      </c>
      <c r="AB67" s="63" t="s">
        <v>209</v>
      </c>
      <c r="AC67" s="63" t="s">
        <v>209</v>
      </c>
      <c r="AD67" s="63" t="s">
        <v>209</v>
      </c>
    </row>
    <row r="68" spans="1:30" ht="56" customHeight="1">
      <c r="A68" s="43"/>
      <c r="B68" s="111" t="s">
        <v>76</v>
      </c>
      <c r="C68" s="111"/>
      <c r="D68" s="111"/>
      <c r="E68" s="111"/>
      <c r="F68" s="111"/>
      <c r="G68" s="77" t="str">
        <f>$G$11</f>
        <v>[L/min]</v>
      </c>
      <c r="H68" s="79">
        <f ca="1" xml:space="preserve"> IF(OR(H13="",H14="",H66=""),"",
ROUND(V68, 2-INT(LOG(ABS(V68)))))</f>
        <v>84.1</v>
      </c>
      <c r="I68" s="79">
        <f ca="1" xml:space="preserve"> IF(OR(I13="",I14="",I66=""),"",
ROUND(W68, 2-INT(LOG(ABS(W68)))))</f>
        <v>83.5</v>
      </c>
      <c r="J68" s="146" t="str">
        <f ca="1">" Vh = (Qh - Wh) / (cρΔTh)"
&amp;IF(H68="",""," = "&amp;$H$67&amp;" / (4.19 × 1000 × "&amp;$H$66&amp;")× "
&amp;INDIRECT(ADDRESS(ROW($AB$1)+MATCH($G68,$AA$2:$AA$4,0),COLUMN($AB$1)))&amp;" = "&amp;$H$68&amp;" "&amp;$G$68)
&amp;CHAR(10)
&amp;" Vc = (Qc + Wc) / (cρΔTc)"
&amp;IF(I68="",""," = "&amp;$I$67&amp;" / (4.19 × 1000 × "&amp;$I$66&amp;")× "
&amp;INDIRECT(ADDRESS(ROW($AB$1)+MATCH($G68,$AA$2:$AA$4,0),COLUMN($AB$1)))&amp;" = "&amp;$I$68&amp;" "&amp;$G$68)
&amp;CHAR(10)
&amp;"※計算値は有効桁数4桁を四捨五入する。"
&amp;IF(AND(H68="",I68=""),"",CHAR(10) &amp; "※式中の数値「1000」「"&amp;INDIRECT(ADDRESS(ROW($AB$1)+MATCH($G68,$AA$2:$AA$4,0),COLUMN($AB$1)))&amp;"」は単位変換に用いる係数である。")</f>
        <v xml:space="preserve"> Vh = (Qh - Wh) / (cρΔTh) = 23.5 / (4.19 × 1000 × 4)× 60000 = 84.1 [L/min]
 Vc = (Qc + Wc) / (cρΔTc) = 35 / (4.19 × 1000 × 6)× 60000 = 83.5 [L/min]
※計算値は有効桁数4桁を四捨五入する。
※式中の数値「1000」「60000」は単位変換に用いる係数である。</v>
      </c>
      <c r="K68" s="146"/>
      <c r="L68" s="146"/>
      <c r="M68" s="146"/>
      <c r="N68" s="146"/>
      <c r="O68" s="146"/>
      <c r="P68" s="146"/>
      <c r="Q68" s="39"/>
      <c r="V68" s="63">
        <f ca="1">(H13+H14*Y11)/(4.19*1000*H66)*INDIRECT(ADDRESS(ROW($AB$1)+MATCH($G68,$AA$2:$AA$4,0),COLUMN($AB$1)))</f>
        <v>84.128878281622917</v>
      </c>
      <c r="W68" s="63">
        <f ca="1">(I13+I14*Z11)/(4.19*1000*I66)*INDIRECT(ADDRESS(ROW($AB$1)+MATCH($G68,$AA$2:$AA$4,0),COLUMN($AB$1)))</f>
        <v>83.532219570405729</v>
      </c>
      <c r="Y68" s="63" t="s">
        <v>209</v>
      </c>
      <c r="Z68" s="63" t="s">
        <v>209</v>
      </c>
      <c r="AA68" s="63" t="s">
        <v>209</v>
      </c>
      <c r="AB68" s="63" t="s">
        <v>209</v>
      </c>
      <c r="AC68" s="63" t="s">
        <v>209</v>
      </c>
      <c r="AD68" s="63" t="s">
        <v>209</v>
      </c>
    </row>
    <row r="69" spans="1:30" ht="30.5" customHeight="1">
      <c r="A69" s="43"/>
      <c r="B69" s="115" t="s">
        <v>75</v>
      </c>
      <c r="C69" s="115"/>
      <c r="D69" s="115"/>
      <c r="E69" s="115"/>
      <c r="F69" s="115"/>
      <c r="G69" s="77" t="str">
        <f>$G$11</f>
        <v>[L/min]</v>
      </c>
      <c r="H69" s="150">
        <f ca="1">IF(AND(I68="",H68=""),"",
MAX(I68,H68))</f>
        <v>84.1</v>
      </c>
      <c r="I69" s="150"/>
      <c r="J69" s="101" t="str">
        <f ca="1" xml:space="preserve"> " Vmax = MAX[Vh, Vc]" &amp; IF(H69="",""," = " &amp; $H$69 &amp;" " &amp;$G$69)</f>
        <v xml:space="preserve"> Vmax = MAX[Vh, Vc] = 84.1 [L/min]</v>
      </c>
      <c r="K69" s="101"/>
      <c r="L69" s="101"/>
      <c r="M69" s="101"/>
      <c r="N69" s="101"/>
      <c r="O69" s="101"/>
      <c r="P69" s="101"/>
      <c r="Q69" s="39"/>
      <c r="Y69" s="63" t="s">
        <v>209</v>
      </c>
      <c r="Z69" s="63" t="s">
        <v>209</v>
      </c>
      <c r="AA69" s="63" t="s">
        <v>209</v>
      </c>
      <c r="AB69" s="63" t="s">
        <v>209</v>
      </c>
      <c r="AC69" s="63" t="s">
        <v>209</v>
      </c>
      <c r="AD69" s="63" t="s">
        <v>209</v>
      </c>
    </row>
    <row r="70" spans="1:30" ht="27.5" customHeight="1">
      <c r="A70" s="43"/>
      <c r="B70" s="101" t="s">
        <v>12</v>
      </c>
      <c r="C70" s="101"/>
      <c r="D70" s="101"/>
      <c r="E70" s="101"/>
      <c r="F70" s="101"/>
      <c r="G70" s="101"/>
      <c r="H70" s="76" t="s">
        <v>7</v>
      </c>
      <c r="I70" s="76" t="s">
        <v>6</v>
      </c>
      <c r="J70" s="111" t="s">
        <v>85</v>
      </c>
      <c r="K70" s="111"/>
      <c r="L70" s="111"/>
      <c r="M70" s="111"/>
      <c r="N70" s="111"/>
      <c r="O70" s="111"/>
      <c r="P70" s="111"/>
      <c r="Q70" s="39"/>
      <c r="Z70" s="63" t="s">
        <v>209</v>
      </c>
      <c r="AC70" s="63" t="s">
        <v>209</v>
      </c>
    </row>
    <row r="71" spans="1:30" ht="42.5" customHeight="1">
      <c r="A71" s="43"/>
      <c r="B71" s="101" t="s">
        <v>79</v>
      </c>
      <c r="C71" s="101"/>
      <c r="D71" s="101"/>
      <c r="E71" s="101"/>
      <c r="F71" s="101"/>
      <c r="G71" s="77" t="str">
        <f>$G$11</f>
        <v>[L/min]</v>
      </c>
      <c r="H71" s="79">
        <f ca="1" xml:space="preserve"> IF(OR(H68="",$H$11="",H68&lt;=0,$H$11&lt;=0),"",ROUND(V71, 2-INT(LOG(ABS(V71)))))</f>
        <v>34.1</v>
      </c>
      <c r="I71" s="79">
        <f ca="1" xml:space="preserve"> IF(OR(I68="",$H$11="",I68&lt;=0,$H$11&lt;=0),"",ROUND(W71, 2-INT(LOG(ABS(W71)))))</f>
        <v>33.5</v>
      </c>
      <c r="J71" s="114" t="str">
        <f ca="1">" Vr,h = Vh - Vw" &amp; IF(H71="",""," = " &amp; $H$68 &amp; " - " &amp; $V$11  &amp; " = " &amp; $H$71 &amp; " " &amp; $G$71)
&amp;CHAR(10)
&amp; " Vr,c = Vc - Vw" &amp; IF(I71="",""," = " &amp; $I$68 &amp; " - " &amp; $V$11  &amp; " = " &amp; $I$71 &amp; " " &amp; $G$71 )
&amp;CHAR(10)
&amp; "※計算値は有効桁数4桁を四捨五入する。"</f>
        <v xml:space="preserve"> Vr,h = Vh - Vw = 84.1 - 50 = 34.1 [L/min]
 Vr,c = Vc - Vw = 83.5 - 50 = 33.5 [L/min]
※計算値は有効桁数4桁を四捨五入する。</v>
      </c>
      <c r="K71" s="114"/>
      <c r="L71" s="114"/>
      <c r="M71" s="114"/>
      <c r="N71" s="114"/>
      <c r="O71" s="114"/>
      <c r="P71" s="114"/>
      <c r="Q71" s="39"/>
      <c r="V71" s="63">
        <f ca="1">H68-$V11</f>
        <v>34.099999999999994</v>
      </c>
      <c r="W71" s="63">
        <f ca="1">I68-$V11</f>
        <v>33.5</v>
      </c>
      <c r="Z71" s="63" t="s">
        <v>209</v>
      </c>
      <c r="AC71" s="63" t="s">
        <v>209</v>
      </c>
    </row>
    <row r="72" spans="1:30" ht="56" customHeight="1">
      <c r="A72" s="43"/>
      <c r="B72" s="115" t="s">
        <v>80</v>
      </c>
      <c r="C72" s="115"/>
      <c r="D72" s="115"/>
      <c r="E72" s="115"/>
      <c r="F72" s="115"/>
      <c r="G72" s="77" t="s">
        <v>15</v>
      </c>
      <c r="H72" s="79">
        <f ca="1" xml:space="preserve"> IF(OR(H71="",H30="",H71&lt;=0,H30&lt;=0,H30&gt;24),"", ROUND(V72, 2-INT(LOG(ABS(V72)))))</f>
        <v>20.5</v>
      </c>
      <c r="I72" s="79">
        <f ca="1" xml:space="preserve"> IF(OR(I71="",I30="",I71&lt;=0,I30&lt;=0,I30&gt;24),"", ROUND(W72, 2-INT(LOG(ABS(W72)))))</f>
        <v>20.100000000000001</v>
      </c>
      <c r="J72" s="114" t="str">
        <f ca="1" xml:space="preserve"> " Mwt,h = Vr,h × tload,h" &amp; IF(H72="",""," = (" &amp; $H$71 &amp; " / " &amp; INDIRECT(ADDRESS(ROW($AB$1)+MATCH($G71,$AA$2:$AA$4,0),COLUMN($AB$1))) &amp;") × (" &amp; $V$30 &amp; " × 3600)" &amp; " = " &amp; $H$72 &amp; " " &amp; $G$72 )
&amp; CHAR(10)
&amp; " Mwt,c = Vr,c × tload,c" &amp; IF(I72="",""," = (" &amp; $I$71 &amp; " / " &amp; INDIRECT(ADDRESS(ROW($AB$1)+MATCH($G71,$AA$2:$AA$4,0),COLUMN($AB$1))) &amp;") × (" &amp; $W$30 &amp; " × 3600)" &amp; " = " &amp; $I$72 &amp; " " &amp; $G$72)
&amp;CHAR(10)
&amp; "※計算値は有効桁数4桁を四捨五入する。"
&amp;IF(AND(H72="",I72=""),"",CHAR(10) &amp; "※式中の数値「"&amp;INDIRECT(ADDRESS(ROW($AB$1)+MATCH($G68,$AA$2:$AA$4,0),COLUMN($AB$1)))&amp;"」「3600」は単位変換に用いる係数である。")</f>
        <v xml:space="preserve"> Mwt,h = Vr,h × tload,h = (34.1 / 60000) × (10 × 3600) = 20.5 [m3]
 Mwt,c = Vr,c × tload,c = (33.5 / 60000) × (10 × 3600) = 20.1 [m3]
※計算値は有効桁数4桁を四捨五入する。
※式中の数値「60000」「3600」は単位変換に用いる係数である。</v>
      </c>
      <c r="K72" s="114"/>
      <c r="L72" s="114"/>
      <c r="M72" s="114"/>
      <c r="N72" s="114"/>
      <c r="O72" s="114"/>
      <c r="P72" s="114"/>
      <c r="Q72" s="39"/>
      <c r="V72" s="63">
        <f ca="1">H71*(V30*3600)/INDIRECT(ADDRESS(ROW($AB$1)+MATCH($G71,$AA$2:$AA$4,0),COLUMN($AB$1)))</f>
        <v>20.46</v>
      </c>
      <c r="W72" s="63">
        <f ca="1">I71*(W30*3600)/INDIRECT(ADDRESS(ROW($AB$1)+MATCH($G71,$AA$2:$AA$4,0),COLUMN($AB$1)))</f>
        <v>20.100000000000001</v>
      </c>
      <c r="Z72" s="63" t="s">
        <v>209</v>
      </c>
      <c r="AC72" s="63" t="s">
        <v>209</v>
      </c>
    </row>
    <row r="73" spans="1:30" ht="58.5" customHeight="1">
      <c r="A73" s="43"/>
      <c r="B73" s="115" t="s">
        <v>81</v>
      </c>
      <c r="C73" s="115"/>
      <c r="D73" s="115"/>
      <c r="E73" s="115"/>
      <c r="F73" s="115"/>
      <c r="G73" s="77" t="s">
        <v>15</v>
      </c>
      <c r="H73" s="79">
        <f ca="1">IF(OR($H11="",H30="",$H11&lt;=0,H30&lt;=0,H30&gt;24),"", ROUND(V73, 2-INT(LOG(ABS(V73)))))</f>
        <v>42</v>
      </c>
      <c r="I73" s="79">
        <f ca="1">IF(OR($H11="",I30="",$H11&lt;=0,I30&lt;=0,I30&gt;24),"", ROUND(W73, 2-INT(LOG(ABS(W73)))))</f>
        <v>42</v>
      </c>
      <c r="J73" s="114" t="str">
        <f ca="1">" Ms,h = Vw × tsw,h" &amp; IF(H73="",""," = ("&amp;$V$11&amp;" / "&amp;INDIRECT(ADDRESS(ROW($AB$1)+MATCH($G11,$AA$2:$AA$4,0),COLUMN($AB$1)))&amp;") × ((24 - "&amp;$V$30&amp;") × 3600)"&amp;" = "&amp;$H$73&amp;" "&amp;$G$73 )
&amp; CHAR(10)
&amp;" Ms,c = Vw × tsw,c" &amp; IF(I73="",""," = ("&amp;$V$11&amp;" / "&amp;INDIRECT(ADDRESS(ROW($AB$1)+MATCH($G11,$AA$2:$AA$4,0),COLUMN($AB$1)))&amp;") × ((24 - "&amp;$W$30&amp;") × 3600)"&amp;" = "&amp;$I$73&amp;" "&amp;$G$73)
&amp;CHAR(10)
&amp; "※計算値は有効桁数4桁を四捨五入する。"
&amp;IF(AND(H73="",I73=""),"",CHAR(10) &amp; "※式中の数値「"&amp;INDIRECT(ADDRESS(ROW($AB$1)+MATCH($G68,$AA$2:$AA$4,0),COLUMN($AB$1)))&amp;"」「3600」は単位変換に用いる係数である。")</f>
        <v xml:space="preserve"> Ms,h = Vw × tsw,h = (50 / 60000) × ((24 - 10) × 3600) = 42 [m3]
 Ms,c = Vw × tsw,c = (50 / 60000) × ((24 - 10) × 3600) = 42 [m3]
※計算値は有効桁数4桁を四捨五入する。
※式中の数値「60000」「3600」は単位変換に用いる係数である。</v>
      </c>
      <c r="K73" s="114"/>
      <c r="L73" s="114"/>
      <c r="M73" s="114"/>
      <c r="N73" s="114"/>
      <c r="O73" s="114"/>
      <c r="P73" s="114"/>
      <c r="Q73" s="39"/>
      <c r="V73" s="63">
        <f ca="1">$H11*((24-V30)*3600)/INDIRECT(ADDRESS(ROW($AB$1)+MATCH($G71,$AA$2:$AA$4,0),COLUMN($AB$1)))</f>
        <v>42</v>
      </c>
      <c r="W73" s="63">
        <f ca="1">$H11*((24-W30)*3600)/INDIRECT(ADDRESS(ROW($AB$1)+MATCH($G71,$AA$2:$AA$4,0),COLUMN($AB$1)))</f>
        <v>42</v>
      </c>
      <c r="Z73" s="63" t="s">
        <v>209</v>
      </c>
      <c r="AC73" s="63" t="s">
        <v>209</v>
      </c>
    </row>
    <row r="74" spans="1:30" ht="27.5" customHeight="1">
      <c r="A74" s="43"/>
      <c r="B74" s="101" t="s">
        <v>82</v>
      </c>
      <c r="C74" s="101"/>
      <c r="D74" s="101"/>
      <c r="E74" s="101"/>
      <c r="F74" s="101"/>
      <c r="G74" s="101"/>
      <c r="H74" s="80" t="s">
        <v>83</v>
      </c>
      <c r="I74" s="80" t="s">
        <v>84</v>
      </c>
      <c r="J74" s="149" t="s">
        <v>91</v>
      </c>
      <c r="K74" s="149"/>
      <c r="L74" s="149"/>
      <c r="M74" s="149"/>
      <c r="N74" s="149"/>
      <c r="O74" s="149"/>
      <c r="P74" s="149"/>
      <c r="Q74" s="39"/>
      <c r="AA74" s="63" t="s">
        <v>209</v>
      </c>
      <c r="AD74" s="63" t="s">
        <v>209</v>
      </c>
    </row>
    <row r="75" spans="1:30" ht="47.5" customHeight="1">
      <c r="A75" s="43"/>
      <c r="B75" s="101" t="s">
        <v>86</v>
      </c>
      <c r="C75" s="101"/>
      <c r="D75" s="101"/>
      <c r="E75" s="101"/>
      <c r="F75" s="101"/>
      <c r="G75" s="77" t="s">
        <v>1</v>
      </c>
      <c r="H75" s="79">
        <f ca="1">IF(OR(H68="",$H$11="",H68&lt;=0,$H$11&lt;=0),"",ROUND(V75,2-INT(LOG(ABS(V75)))))</f>
        <v>1.68</v>
      </c>
      <c r="I75" s="79">
        <f ca="1">IF(OR(I68="",$H$11="",I68&lt;=0,$H$11&lt;=0),"",ROUND(W75,2-INT(LOG(ABS(W75)))))</f>
        <v>1.67</v>
      </c>
      <c r="J75" s="114" t="str">
        <f ca="1">" nh = Vh / Vw" &amp; IF(H75="",""," = " &amp; $H$68 &amp; " / " &amp; $V$11 &amp; " = " &amp; $H$75 &amp; " [-]") &amp; CHAR(10)
&amp; " nc = Vc / Vw" &amp; IF(I75="","", " = " &amp; $I$68 &amp; " / " &amp; $V$11 &amp; " = " &amp; $I$75 &amp; " [-]") &amp;CHAR(10)
&amp; "※計算値は有効桁数4桁を四捨五入する。"</f>
        <v xml:space="preserve"> nh = Vh / Vw = 84.1 / 50 = 1.68 [-]
 nc = Vc / Vw = 83.5 / 50 = 1.67 [-]
※計算値は有効桁数4桁を四捨五入する。</v>
      </c>
      <c r="K75" s="114"/>
      <c r="L75" s="114"/>
      <c r="M75" s="114"/>
      <c r="N75" s="114"/>
      <c r="O75" s="114"/>
      <c r="P75" s="114"/>
      <c r="Q75" s="39"/>
      <c r="V75" s="63">
        <f ca="1">H68/$V$11</f>
        <v>1.6819999999999999</v>
      </c>
      <c r="W75" s="63">
        <f ca="1">I68/$V$11</f>
        <v>1.67</v>
      </c>
      <c r="AA75" s="63" t="s">
        <v>209</v>
      </c>
      <c r="AD75" s="63" t="s">
        <v>209</v>
      </c>
    </row>
    <row r="76" spans="1:30" ht="27" customHeight="1">
      <c r="A76" s="43"/>
      <c r="B76" s="125" t="s">
        <v>99</v>
      </c>
      <c r="C76" s="126"/>
      <c r="D76" s="126"/>
      <c r="E76" s="126"/>
      <c r="F76" s="126"/>
      <c r="G76" s="126"/>
      <c r="H76" s="126"/>
      <c r="I76" s="126"/>
      <c r="J76" s="126"/>
      <c r="K76" s="126"/>
      <c r="L76" s="126"/>
      <c r="M76" s="126"/>
      <c r="N76" s="126"/>
      <c r="O76" s="126"/>
      <c r="P76" s="127"/>
      <c r="Q76" s="39"/>
      <c r="Z76" s="63" t="s">
        <v>209</v>
      </c>
      <c r="AA76" s="63" t="s">
        <v>209</v>
      </c>
      <c r="AC76" s="63" t="s">
        <v>209</v>
      </c>
      <c r="AD76" s="63" t="s">
        <v>209</v>
      </c>
    </row>
    <row r="77" spans="1:30" ht="44.5" customHeight="1">
      <c r="A77" s="43"/>
      <c r="B77" s="111" t="s">
        <v>87</v>
      </c>
      <c r="C77" s="111"/>
      <c r="D77" s="111"/>
      <c r="E77" s="111"/>
      <c r="F77" s="111"/>
      <c r="G77" s="77" t="s">
        <v>18</v>
      </c>
      <c r="H77" s="150">
        <f ca="1" xml:space="preserve"> IF(OR($H32="",$H33=""),"",ROUND(V77, 2-INT(LOG(ABS(V77)))))</f>
        <v>1.25</v>
      </c>
      <c r="I77" s="150"/>
      <c r="J77" s="114" t="str">
        <f ca="1">" Rins = lins / λins" &amp; IF(H77="","", " = (" &amp; $V32 &amp; " / " &amp; INDIRECT(ADDRESS(ROW($AD$1)+MATCH($G$32,$AC$2:$AC$4,0),COLUMN($AD$1))) &amp; ") / " &amp; $V33 &amp; " = " &amp; $H$77 &amp; " " &amp; $G$77) &amp;CHAR(10)
&amp; "※計算値は有効桁数4桁を四捨五入する。"
&amp;IF(AND(H77="",I77=""),"",CHAR(10) &amp; "※式中の数値「"&amp;INDIRECT(ADDRESS(ROW($AD$1)+MATCH($G$32,$AC$2:$AC$4,0),COLUMN($AD$1)))&amp;"」は単位変換に用いる係数である。")</f>
        <v xml:space="preserve"> Rins = lins / λins = (50 / 1000) / 0.04 = 1.25 [m2K/W]
※計算値は有効桁数4桁を四捨五入する。
※式中の数値「1000」は単位変換に用いる係数である。</v>
      </c>
      <c r="K77" s="114"/>
      <c r="L77" s="114"/>
      <c r="M77" s="114"/>
      <c r="N77" s="114"/>
      <c r="O77" s="114"/>
      <c r="P77" s="114"/>
      <c r="Q77" s="39"/>
      <c r="V77" s="63">
        <f ca="1">$V32/$V33/INDIRECT(ADDRESS(ROW($AD$1)+MATCH($G$32,$AC$2:$AC$4,0),COLUMN($AD$1)))</f>
        <v>1.25</v>
      </c>
      <c r="Z77" s="63" t="s">
        <v>209</v>
      </c>
      <c r="AA77" s="63" t="s">
        <v>209</v>
      </c>
      <c r="AC77" s="63" t="s">
        <v>209</v>
      </c>
      <c r="AD77" s="63" t="s">
        <v>209</v>
      </c>
    </row>
    <row r="78" spans="1:30" ht="27" customHeight="1">
      <c r="A78" s="43"/>
      <c r="B78" s="101" t="s">
        <v>90</v>
      </c>
      <c r="C78" s="101"/>
      <c r="D78" s="101"/>
      <c r="E78" s="101"/>
      <c r="F78" s="101"/>
      <c r="G78" s="101"/>
      <c r="H78" s="81" t="s">
        <v>83</v>
      </c>
      <c r="I78" s="81" t="s">
        <v>84</v>
      </c>
      <c r="J78" s="111" t="s">
        <v>88</v>
      </c>
      <c r="K78" s="101"/>
      <c r="L78" s="101"/>
      <c r="M78" s="101"/>
      <c r="N78" s="101"/>
      <c r="O78" s="101"/>
      <c r="P78" s="101"/>
      <c r="Q78" s="39"/>
      <c r="AB78" s="63" t="s">
        <v>209</v>
      </c>
      <c r="AC78" s="63" t="s">
        <v>209</v>
      </c>
      <c r="AD78" s="63" t="s">
        <v>209</v>
      </c>
    </row>
    <row r="79" spans="1:30" ht="67.5" customHeight="1">
      <c r="A79" s="43"/>
      <c r="B79" s="111" t="s">
        <v>89</v>
      </c>
      <c r="C79" s="111"/>
      <c r="D79" s="111"/>
      <c r="E79" s="111"/>
      <c r="F79" s="111"/>
      <c r="G79" s="77" t="s">
        <v>8</v>
      </c>
      <c r="H79" s="78">
        <f>IF(OR(H24="",H27="",H25="",H26="",H24-H27&lt;=0,H25-H26&lt;=0),"",
ROUND(V79,1))</f>
        <v>2</v>
      </c>
      <c r="I79" s="78">
        <f>IF(OR(I24="",I27="",I25="",I26="",I27-I24&lt;=0,I26-I25&lt;=0),"",
ROUND(W79,1))</f>
        <v>3</v>
      </c>
      <c r="J79" s="146" t="str">
        <f xml:space="preserve"> IF(H79="",""," ΔTm,h = " &amp;  IF((V24-V27)/(V25-V26)=1,"T1i,h - T2o,h = " &amp; V24 &amp; " - " &amp; V27,"{(T1i,h - T2o,h) - (T1o,h - T2i,h)} / ln{(T1i,h - T2o,h) / (T1o,h - T2i,h)} "&amp; CHAR(10) &amp; "            = " &amp; "{(" &amp; V24 &amp; " - " &amp; V27 &amp; ") - (" &amp;  V25 &amp; " - " &amp; V26 &amp; ")} / ln{(" &amp; V24 &amp; " - " &amp; V27 &amp; ") / (" &amp; V25 &amp; " - " &amp; V26 &amp; ")}" ) &amp; " = " &amp; $H$79 &amp; CHAR(10))
&amp; IF(I79="",""," ΔTm,c = " &amp; IF((W24-W27)/(W25-W26)=1, "T2o,c - T1i,c = " &amp; W27 &amp; " - " &amp; W24,"{(T2o,c - T1i,c) - (T2i,c - T1o,c)} / ln{(T2o,c - T1i,c) / (T2i,c - T1o,c)} "&amp; CHAR(10) &amp; "            = " &amp; "{(" &amp; W27 &amp; " - " &amp; W24 &amp; ") - (" &amp;  W26 &amp; " - " &amp; W25 &amp; ")} / ln{(" &amp; W27 &amp; " - " &amp; W24 &amp; ") / (" &amp; W26 &amp; " - " &amp; W25 &amp; ")}" ) &amp; " = " &amp; $I$79 &amp;CHAR(10))
&amp; "※計算値は小数点以下2桁を四捨五入する。"</f>
        <v xml:space="preserve"> ΔTm,h = T1i,h - T2o,h = 18 - 16 = 2
 ΔTm,c = T2o,c - T1i,c = 21 - 18 = 3
※計算値は小数点以下2桁を四捨五入する。</v>
      </c>
      <c r="K79" s="146"/>
      <c r="L79" s="146"/>
      <c r="M79" s="146"/>
      <c r="N79" s="146"/>
      <c r="O79" s="146"/>
      <c r="P79" s="146"/>
      <c r="Q79" s="39"/>
      <c r="V79" s="88">
        <f>IF((V24-V27)/(V25-V26)=1,Y11*(-V24+V27),-((V24-V27)-(V25-V26))/LN((V24-V27)/(V25-V26))*Y11)</f>
        <v>2</v>
      </c>
      <c r="W79" s="88">
        <f>IF((W24-W27)/(W25-W26)=1,Z11*(-W24+W27),-((W24-W27)-(W25-W26))/LN((W24-W27)/(W25-W26))*Z11)</f>
        <v>3</v>
      </c>
      <c r="AB79" s="63" t="s">
        <v>209</v>
      </c>
      <c r="AC79" s="63" t="s">
        <v>209</v>
      </c>
      <c r="AD79" s="63" t="s">
        <v>209</v>
      </c>
    </row>
    <row r="80" spans="1:30" ht="47" hidden="1" customHeight="1">
      <c r="A80" s="43"/>
      <c r="B80" s="147" t="s">
        <v>103</v>
      </c>
      <c r="C80" s="147"/>
      <c r="D80" s="147"/>
      <c r="E80" s="147"/>
      <c r="F80" s="147"/>
      <c r="G80" s="82" t="s">
        <v>104</v>
      </c>
      <c r="H80" s="83">
        <f xml:space="preserve"> IF(OR(H67="",H79="",H67&lt;=0,H79&lt;=0),"", ROUND(V80, 2-INT(LOG(ABS(V80)))))</f>
        <v>11.8</v>
      </c>
      <c r="I80" s="83">
        <f xml:space="preserve"> IF(OR(I67="",I79="",I67&lt;=0,I79&lt;=0),"", ROUND(W80, 2-INT(LOG(ABS(W80)))))</f>
        <v>11.7</v>
      </c>
      <c r="J80" s="148" t="str">
        <f xml:space="preserve"> " Uh = (Qh - Wh) / ΔTm,h" &amp; IF(H80="",""," = " &amp; $H$67 &amp; " / " &amp; $H$79 &amp; " = " &amp; $H$80)  &amp; CHAR(10)
&amp;  " Uc = (Qc + Wc) / ΔTm,c" &amp; IF(I80="",""," = " &amp; $I$67 &amp; " / " &amp; $I$79 &amp; " = " &amp; $I$80) &amp;CHAR(10)
&amp; "※計算値は有効桁数4桁で四捨五入する。"</f>
        <v xml:space="preserve"> Uh = (Qh - Wh) / ΔTm,h = 23.5 / 2 = 11.8
 Uc = (Qc + Wc) / ΔTm,c = 35 / 3 = 11.7
※計算値は有効桁数4桁で四捨五入する。</v>
      </c>
      <c r="K80" s="148"/>
      <c r="L80" s="148"/>
      <c r="M80" s="148"/>
      <c r="N80" s="148"/>
      <c r="O80" s="148"/>
      <c r="P80" s="148"/>
      <c r="Q80" s="39"/>
      <c r="V80" s="63">
        <f>H67/H79</f>
        <v>11.75</v>
      </c>
      <c r="W80" s="63">
        <f>I67/I79</f>
        <v>11.666666666666666</v>
      </c>
      <c r="AB80" s="63" t="s">
        <v>209</v>
      </c>
      <c r="AC80" s="63" t="s">
        <v>209</v>
      </c>
      <c r="AD80" s="63" t="s">
        <v>209</v>
      </c>
    </row>
    <row r="81" spans="2:16" ht="15.65" customHeight="1">
      <c r="B81" s="44"/>
      <c r="C81" s="44"/>
      <c r="D81" s="44"/>
      <c r="E81" s="44"/>
      <c r="F81" s="44"/>
      <c r="G81" s="44"/>
      <c r="H81" s="44"/>
      <c r="I81" s="45"/>
      <c r="J81" s="44"/>
      <c r="K81" s="44"/>
      <c r="L81" s="44"/>
      <c r="M81" s="44"/>
      <c r="N81" s="44"/>
      <c r="O81" s="44"/>
      <c r="P81" s="44"/>
    </row>
    <row r="82" spans="2:16" ht="15.65" customHeight="1">
      <c r="E82" s="33"/>
      <c r="I82" s="34"/>
    </row>
    <row r="83" spans="2:16" ht="15.65" customHeight="1">
      <c r="E83" s="33"/>
      <c r="I83" s="34"/>
    </row>
    <row r="84" spans="2:16" ht="19.5" customHeight="1">
      <c r="E84" s="33"/>
      <c r="I84" s="34"/>
    </row>
    <row r="85" spans="2:16" ht="20" customHeight="1">
      <c r="E85" s="33"/>
      <c r="H85" s="34"/>
      <c r="I85" s="34"/>
    </row>
    <row r="86" spans="2:16" ht="24.5" customHeight="1">
      <c r="E86" s="33"/>
      <c r="H86" s="34"/>
      <c r="I86" s="34"/>
    </row>
    <row r="87" spans="2:16" ht="15.65" customHeight="1">
      <c r="E87" s="33"/>
      <c r="H87" s="34"/>
      <c r="I87" s="34"/>
    </row>
    <row r="88" spans="2:16" ht="15.65" customHeight="1">
      <c r="E88" s="33"/>
      <c r="H88" s="59"/>
      <c r="I88" s="59"/>
    </row>
    <row r="89" spans="2:16" ht="15.65" customHeight="1">
      <c r="E89" s="33"/>
    </row>
    <row r="90" spans="2:16" ht="15.65" customHeight="1">
      <c r="E90" s="33"/>
      <c r="H90" s="59"/>
    </row>
    <row r="91" spans="2:16" ht="15.65" customHeight="1">
      <c r="E91" s="33"/>
    </row>
    <row r="92" spans="2:16" ht="15.65" customHeight="1">
      <c r="E92" s="59"/>
    </row>
    <row r="94" spans="2:16" ht="15.65" customHeight="1">
      <c r="B94" s="58"/>
    </row>
    <row r="96" spans="2:16" ht="15.65" customHeight="1">
      <c r="E96" s="33"/>
    </row>
    <row r="97" spans="2:5" ht="15.65" customHeight="1">
      <c r="E97" s="33"/>
    </row>
    <row r="98" spans="2:5" ht="15.65" customHeight="1">
      <c r="E98" s="33"/>
    </row>
    <row r="99" spans="2:5" ht="15.65" customHeight="1">
      <c r="E99" s="33"/>
    </row>
    <row r="100" spans="2:5" ht="15.65" customHeight="1">
      <c r="E100" s="33"/>
    </row>
    <row r="101" spans="2:5" ht="15.65" customHeight="1">
      <c r="E101" s="33"/>
    </row>
    <row r="102" spans="2:5" ht="15.65" customHeight="1">
      <c r="E102" s="33"/>
    </row>
    <row r="105" spans="2:5" ht="15.65" customHeight="1">
      <c r="B105" s="58"/>
    </row>
    <row r="108" spans="2:5" ht="15.65" customHeight="1">
      <c r="E108" s="59"/>
    </row>
    <row r="116" spans="5:5" ht="15.65" customHeight="1">
      <c r="E116" s="84"/>
    </row>
    <row r="119" spans="5:5" ht="15.65" customHeight="1">
      <c r="E119" s="59"/>
    </row>
    <row r="123" spans="5:5" ht="15" customHeight="1"/>
    <row r="124" spans="5:5" ht="15" customHeight="1"/>
    <row r="127" spans="5:5" ht="15.65" customHeight="1">
      <c r="E127" s="84"/>
    </row>
    <row r="128" spans="5:5" ht="15.65" customHeight="1">
      <c r="E128" s="84"/>
    </row>
    <row r="129" spans="2:11" ht="15.65" customHeight="1">
      <c r="E129" s="84"/>
    </row>
    <row r="130" spans="2:11" ht="15.65" customHeight="1">
      <c r="E130" s="33"/>
    </row>
    <row r="131" spans="2:11" ht="15.65" customHeight="1">
      <c r="E131" s="33"/>
      <c r="K131" s="58"/>
    </row>
    <row r="132" spans="2:11" ht="15.65" customHeight="1">
      <c r="C132" s="85"/>
      <c r="D132" s="85"/>
      <c r="E132" s="86"/>
    </row>
    <row r="133" spans="2:11" ht="15.65" customHeight="1">
      <c r="E133" s="33"/>
    </row>
    <row r="134" spans="2:11" ht="15.65" customHeight="1">
      <c r="E134" s="84"/>
    </row>
    <row r="135" spans="2:11" ht="15.65" customHeight="1">
      <c r="E135" s="84"/>
    </row>
    <row r="137" spans="2:11" ht="15.65" customHeight="1">
      <c r="B137" s="58"/>
    </row>
    <row r="138" spans="2:11" ht="15.65" customHeight="1">
      <c r="E138" s="59"/>
    </row>
    <row r="139" spans="2:11" ht="15.65" customHeight="1">
      <c r="E139" s="60"/>
    </row>
    <row r="140" spans="2:11" ht="15.65" customHeight="1">
      <c r="E140" s="60"/>
    </row>
    <row r="142" spans="2:11" ht="15.65" customHeight="1">
      <c r="E142" s="59"/>
    </row>
    <row r="143" spans="2:11" ht="15.65" customHeight="1">
      <c r="E143" s="60"/>
    </row>
    <row r="144" spans="2:11" ht="15.65" customHeight="1">
      <c r="E144" s="60"/>
    </row>
    <row r="148" spans="2:6" ht="15.65" customHeight="1">
      <c r="B148" s="58"/>
    </row>
    <row r="150" spans="2:6" ht="15.65" customHeight="1">
      <c r="E150" s="33"/>
    </row>
    <row r="151" spans="2:6" ht="15.65" customHeight="1">
      <c r="E151" s="59"/>
    </row>
    <row r="152" spans="2:6" ht="15.65" customHeight="1">
      <c r="E152" s="60"/>
      <c r="F152" s="61"/>
    </row>
    <row r="153" spans="2:6" ht="15.65" customHeight="1">
      <c r="E153" s="60"/>
      <c r="F153" s="61"/>
    </row>
    <row r="154" spans="2:6" ht="15.65" customHeight="1">
      <c r="E154" s="59"/>
    </row>
    <row r="155" spans="2:6" ht="15.65" customHeight="1">
      <c r="E155" s="59"/>
    </row>
    <row r="156" spans="2:6" ht="15.65" customHeight="1">
      <c r="E156" s="60"/>
      <c r="F156" s="61"/>
    </row>
    <row r="157" spans="2:6" ht="15.65" customHeight="1">
      <c r="E157" s="60"/>
      <c r="F157" s="61"/>
    </row>
    <row r="159" spans="2:6" ht="15.65" customHeight="1">
      <c r="E159" s="62"/>
    </row>
  </sheetData>
  <sheetProtection algorithmName="SHA-512" hashValue="+p7LBKdDtmi8+faP/yR0P7EDqfoXqx7c+70OMNDCZWL2tOgJ7//vp4eMygs+fs8gqSqYVYNUO8HuO8PDfes/LA==" saltValue="akWjB7/GGX/fb2VjyGTRQA==" spinCount="100000" sheet="1" objects="1" scenarios="1"/>
  <mergeCells count="134">
    <mergeCell ref="B2:J2"/>
    <mergeCell ref="L2:P2"/>
    <mergeCell ref="B3:J3"/>
    <mergeCell ref="L3:P3"/>
    <mergeCell ref="B5:G5"/>
    <mergeCell ref="H5:P5"/>
    <mergeCell ref="B11:F11"/>
    <mergeCell ref="H11:I11"/>
    <mergeCell ref="J11:P11"/>
    <mergeCell ref="B12:G12"/>
    <mergeCell ref="J12:P12"/>
    <mergeCell ref="B13:F13"/>
    <mergeCell ref="J13:P14"/>
    <mergeCell ref="B14:F14"/>
    <mergeCell ref="B6:G6"/>
    <mergeCell ref="H6:P6"/>
    <mergeCell ref="B9:F9"/>
    <mergeCell ref="H9:I9"/>
    <mergeCell ref="J9:P9"/>
    <mergeCell ref="B10:F10"/>
    <mergeCell ref="H10:I10"/>
    <mergeCell ref="J10:P10"/>
    <mergeCell ref="B15:F15"/>
    <mergeCell ref="J15:P16"/>
    <mergeCell ref="B16:F16"/>
    <mergeCell ref="B17:I17"/>
    <mergeCell ref="J17:P17"/>
    <mergeCell ref="B18:F18"/>
    <mergeCell ref="H18:I18"/>
    <mergeCell ref="J18:P19"/>
    <mergeCell ref="B19:F19"/>
    <mergeCell ref="H19:I19"/>
    <mergeCell ref="B23:G23"/>
    <mergeCell ref="J23:P27"/>
    <mergeCell ref="B24:F24"/>
    <mergeCell ref="B25:F25"/>
    <mergeCell ref="B26:F26"/>
    <mergeCell ref="B27:F27"/>
    <mergeCell ref="B20:F20"/>
    <mergeCell ref="H20:I20"/>
    <mergeCell ref="J20:P21"/>
    <mergeCell ref="B21:F21"/>
    <mergeCell ref="H21:I21"/>
    <mergeCell ref="B22:F22"/>
    <mergeCell ref="H22:I22"/>
    <mergeCell ref="J22:P22"/>
    <mergeCell ref="B31:F31"/>
    <mergeCell ref="H31:I31"/>
    <mergeCell ref="J31:P31"/>
    <mergeCell ref="B32:F32"/>
    <mergeCell ref="H32:I32"/>
    <mergeCell ref="J32:P32"/>
    <mergeCell ref="B28:I28"/>
    <mergeCell ref="J28:P28"/>
    <mergeCell ref="B29:F29"/>
    <mergeCell ref="H29:I29"/>
    <mergeCell ref="J29:P29"/>
    <mergeCell ref="B30:F30"/>
    <mergeCell ref="J30:P30"/>
    <mergeCell ref="B37:F37"/>
    <mergeCell ref="H37:I37"/>
    <mergeCell ref="J37:P37"/>
    <mergeCell ref="F39:P39"/>
    <mergeCell ref="B46:J46"/>
    <mergeCell ref="L46:P46"/>
    <mergeCell ref="B33:F33"/>
    <mergeCell ref="H33:I33"/>
    <mergeCell ref="J33:P33"/>
    <mergeCell ref="B36:F36"/>
    <mergeCell ref="H36:I36"/>
    <mergeCell ref="J36:P36"/>
    <mergeCell ref="B53:G54"/>
    <mergeCell ref="H53:I53"/>
    <mergeCell ref="J53:P54"/>
    <mergeCell ref="B55:G55"/>
    <mergeCell ref="H55:I55"/>
    <mergeCell ref="J55:P55"/>
    <mergeCell ref="B47:J47"/>
    <mergeCell ref="L47:P47"/>
    <mergeCell ref="B49:G49"/>
    <mergeCell ref="H49:P49"/>
    <mergeCell ref="B50:G50"/>
    <mergeCell ref="H50:P50"/>
    <mergeCell ref="B59:G59"/>
    <mergeCell ref="H59:I59"/>
    <mergeCell ref="J59:P59"/>
    <mergeCell ref="B60:G60"/>
    <mergeCell ref="J60:P60"/>
    <mergeCell ref="B61:G61"/>
    <mergeCell ref="H61:I61"/>
    <mergeCell ref="J61:P61"/>
    <mergeCell ref="B56:G56"/>
    <mergeCell ref="J56:P56"/>
    <mergeCell ref="B57:G57"/>
    <mergeCell ref="J57:P57"/>
    <mergeCell ref="B58:G58"/>
    <mergeCell ref="J58:P58"/>
    <mergeCell ref="B66:F66"/>
    <mergeCell ref="J66:P66"/>
    <mergeCell ref="B67:F67"/>
    <mergeCell ref="J67:P67"/>
    <mergeCell ref="B68:F68"/>
    <mergeCell ref="J68:P68"/>
    <mergeCell ref="F63:P63"/>
    <mergeCell ref="B64:F64"/>
    <mergeCell ref="H64:I64"/>
    <mergeCell ref="J64:P64"/>
    <mergeCell ref="B65:G65"/>
    <mergeCell ref="J65:P65"/>
    <mergeCell ref="B72:F72"/>
    <mergeCell ref="J72:P72"/>
    <mergeCell ref="B73:F73"/>
    <mergeCell ref="J73:P73"/>
    <mergeCell ref="B74:G74"/>
    <mergeCell ref="J74:P74"/>
    <mergeCell ref="B69:F69"/>
    <mergeCell ref="H69:I69"/>
    <mergeCell ref="J69:P69"/>
    <mergeCell ref="B70:G70"/>
    <mergeCell ref="J70:P70"/>
    <mergeCell ref="B71:F71"/>
    <mergeCell ref="J71:P71"/>
    <mergeCell ref="B78:G78"/>
    <mergeCell ref="J78:P78"/>
    <mergeCell ref="B79:F79"/>
    <mergeCell ref="J79:P79"/>
    <mergeCell ref="B80:F80"/>
    <mergeCell ref="J80:P80"/>
    <mergeCell ref="B75:F75"/>
    <mergeCell ref="J75:P75"/>
    <mergeCell ref="B76:P76"/>
    <mergeCell ref="B77:F77"/>
    <mergeCell ref="H77:I77"/>
    <mergeCell ref="J77:P77"/>
  </mergeCells>
  <phoneticPr fontId="1"/>
  <conditionalFormatting sqref="B32:P33 B76:P77 B59:P59">
    <cfRule type="expression" dxfId="17" priority="4">
      <formula>$H$31="×"</formula>
    </cfRule>
  </conditionalFormatting>
  <conditionalFormatting sqref="B52:P62 B64:P75 B63:F63 B77:P80 B76 B30:J30 B31:P38 B40:P44 F39 B13:P29">
    <cfRule type="expression" dxfId="16" priority="5">
      <formula>INDIRECT(ADDRESS(ROW(B13),COLUMN($Y$12)+MATCH($H$10,$Y$12:$AD$12,0)-1))=""</formula>
    </cfRule>
  </conditionalFormatting>
  <conditionalFormatting sqref="H15:H16">
    <cfRule type="expression" dxfId="15" priority="15">
      <formula>AND($H$15&lt;=$H$16,$H$15&lt;&gt;"",$H$16&lt;&gt;"")</formula>
    </cfRule>
  </conditionalFormatting>
  <conditionalFormatting sqref="I15:I16">
    <cfRule type="expression" dxfId="14" priority="14">
      <formula>AND($I$15&gt;=$I$16,$I$15&lt;&gt;"",$I$16&lt;&gt;"")</formula>
    </cfRule>
  </conditionalFormatting>
  <conditionalFormatting sqref="H24:H25">
    <cfRule type="expression" dxfId="13" priority="13">
      <formula>AND($H$24&lt;=$H$25,$H$24&lt;&gt;"",$H$25&lt;&gt;"")</formula>
    </cfRule>
  </conditionalFormatting>
  <conditionalFormatting sqref="I24:I25">
    <cfRule type="expression" dxfId="12" priority="12">
      <formula>AND($I$24&gt;=$I$25,$I$24&lt;&gt;"",$I$25&lt;&gt;"")</formula>
    </cfRule>
  </conditionalFormatting>
  <conditionalFormatting sqref="H26:H27">
    <cfRule type="expression" dxfId="11" priority="11">
      <formula>AND($H$26&gt;=$H$27,$H$26&lt;&gt;"",$H$27&lt;&gt;"")</formula>
    </cfRule>
  </conditionalFormatting>
  <conditionalFormatting sqref="I26:I27">
    <cfRule type="expression" dxfId="10" priority="10">
      <formula>AND($I$26&lt;=$I$27,$I$26&lt;&gt;"",$I$27&lt;&gt;"")</formula>
    </cfRule>
  </conditionalFormatting>
  <conditionalFormatting sqref="H24 H27">
    <cfRule type="expression" dxfId="9" priority="9">
      <formula>AND($H$24&lt;=$H$27,$H$24&lt;&gt;"",$H$27&lt;&gt;"")</formula>
    </cfRule>
  </conditionalFormatting>
  <conditionalFormatting sqref="H25:H26">
    <cfRule type="expression" dxfId="8" priority="8">
      <formula>AND($H$26&gt;=$H$25,$H$25&lt;&gt;"",$H$26&lt;&gt;"")</formula>
    </cfRule>
  </conditionalFormatting>
  <conditionalFormatting sqref="I24 I27">
    <cfRule type="expression" dxfId="7" priority="7">
      <formula>AND($I$24&gt;=$I$27,$I$24&lt;&gt;"",$I$27&lt;&gt;"")</formula>
    </cfRule>
  </conditionalFormatting>
  <conditionalFormatting sqref="I25:I26">
    <cfRule type="expression" dxfId="6" priority="6">
      <formula>AND($I$25&gt;=$I$26,$I$25&lt;&gt;"",$I$26&lt;&gt;"")</formula>
    </cfRule>
  </conditionalFormatting>
  <conditionalFormatting sqref="H60:I60 H59 H61 H55:I58">
    <cfRule type="expression" dxfId="5" priority="16">
      <formula>H55="NG"</formula>
    </cfRule>
  </conditionalFormatting>
  <conditionalFormatting sqref="H30">
    <cfRule type="expression" dxfId="4" priority="17">
      <formula>$H$30+#REF!&gt;24</formula>
    </cfRule>
  </conditionalFormatting>
  <conditionalFormatting sqref="I30">
    <cfRule type="expression" dxfId="3" priority="18">
      <formula>$I$30+#REF!&gt;24</formula>
    </cfRule>
  </conditionalFormatting>
  <conditionalFormatting sqref="B39:D39">
    <cfRule type="expression" dxfId="2" priority="3">
      <formula>INDIRECT(ADDRESS(ROW(B39),COLUMN($Y$12)+MATCH($H$10,$Y$12:$AD$12,0)-1))=""</formula>
    </cfRule>
  </conditionalFormatting>
  <conditionalFormatting sqref="E39">
    <cfRule type="expression" dxfId="1" priority="1">
      <formula>INDIRECT(ADDRESS(ROW(E39),COLUMN($Y$12)+MATCH($H$10,$Y$12:$AD$12,0)-1))=""</formula>
    </cfRule>
  </conditionalFormatting>
  <conditionalFormatting sqref="E39">
    <cfRule type="expression" dxfId="0" priority="2">
      <formula>E39="NG"</formula>
    </cfRule>
  </conditionalFormatting>
  <dataValidations count="4">
    <dataValidation type="list" showInputMessage="1" showErrorMessage="1" sqref="H10:I10" xr:uid="{BDBC7D73-5C95-4D17-A86F-96F93C8FE376}">
      <formula1>$U$2:$U$7</formula1>
    </dataValidation>
    <dataValidation type="list" allowBlank="1" showInputMessage="1" showErrorMessage="1" sqref="G32" xr:uid="{B9107012-A636-4D43-A445-91114D0B01C6}">
      <formula1>$AC$2:$AC$4</formula1>
    </dataValidation>
    <dataValidation type="list" allowBlank="1" showInputMessage="1" showErrorMessage="1" sqref="G11" xr:uid="{F20F590C-C3B6-43CD-BCFC-580CA43FA802}">
      <formula1>AA$2:AA$4</formula1>
    </dataValidation>
    <dataValidation type="list" allowBlank="1" showInputMessage="1" showErrorMessage="1" sqref="H31" xr:uid="{B8781317-AEFC-4B35-BB4F-3F19714459BF}">
      <formula1>"○,×"</formula1>
    </dataValidation>
  </dataValidations>
  <pageMargins left="0.59055118110236227" right="0.59055118110236227" top="0.59055118110236227" bottom="0.59055118110236227" header="0.31496062992125984" footer="0.31496062992125984"/>
  <pageSetup paperSize="9" scale="60" fitToWidth="0" orientation="portrait" r:id="rId1"/>
  <headerFooter>
    <oddFooter>&amp;C&amp;"ＭＳ Ｐ明朝,標準"オープンループ型地中熱ヒートポンプシステムの設計チェックシート&amp;"Times New Roman,標準" &amp;"ＭＳ Ｐ明朝,標準"(&amp;"Times New Roman,標準"Ver.1.0&amp;"ＭＳ Ｐ明朝,標準")  - &amp;"Times New Roman,標準"&amp;P / 2&amp;"ＭＳ Ｐ明朝,標準" -</oddFooter>
  </headerFooter>
  <rowBreaks count="1" manualBreakCount="1">
    <brk id="44" max="16383" man="1"/>
  </rowBreaks>
  <colBreaks count="1" manualBreakCount="1">
    <brk id="17"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5A6A2-F319-4561-9BDB-33B594EEC990}">
  <dimension ref="A1:C180"/>
  <sheetViews>
    <sheetView view="pageBreakPreview" zoomScaleNormal="112" zoomScaleSheetLayoutView="100" workbookViewId="0">
      <selection activeCell="B9" sqref="B9"/>
    </sheetView>
  </sheetViews>
  <sheetFormatPr defaultColWidth="11.9140625" defaultRowHeight="16.5"/>
  <cols>
    <col min="1" max="1" width="1.33203125" style="5" customWidth="1"/>
    <col min="2" max="2" width="129.25" style="20" customWidth="1"/>
    <col min="3" max="3" width="1.33203125" style="5" customWidth="1"/>
    <col min="4" max="256" width="11.9140625" style="5"/>
    <col min="257" max="257" width="1.33203125" style="5" customWidth="1"/>
    <col min="258" max="258" width="129.25" style="5" customWidth="1"/>
    <col min="259" max="259" width="1.33203125" style="5" customWidth="1"/>
    <col min="260" max="512" width="11.9140625" style="5"/>
    <col min="513" max="513" width="1.33203125" style="5" customWidth="1"/>
    <col min="514" max="514" width="129.25" style="5" customWidth="1"/>
    <col min="515" max="515" width="1.33203125" style="5" customWidth="1"/>
    <col min="516" max="768" width="11.9140625" style="5"/>
    <col min="769" max="769" width="1.33203125" style="5" customWidth="1"/>
    <col min="770" max="770" width="129.25" style="5" customWidth="1"/>
    <col min="771" max="771" width="1.33203125" style="5" customWidth="1"/>
    <col min="772" max="1024" width="11.9140625" style="5"/>
    <col min="1025" max="1025" width="1.33203125" style="5" customWidth="1"/>
    <col min="1026" max="1026" width="129.25" style="5" customWidth="1"/>
    <col min="1027" max="1027" width="1.33203125" style="5" customWidth="1"/>
    <col min="1028" max="1280" width="11.9140625" style="5"/>
    <col min="1281" max="1281" width="1.33203125" style="5" customWidth="1"/>
    <col min="1282" max="1282" width="129.25" style="5" customWidth="1"/>
    <col min="1283" max="1283" width="1.33203125" style="5" customWidth="1"/>
    <col min="1284" max="1536" width="11.9140625" style="5"/>
    <col min="1537" max="1537" width="1.33203125" style="5" customWidth="1"/>
    <col min="1538" max="1538" width="129.25" style="5" customWidth="1"/>
    <col min="1539" max="1539" width="1.33203125" style="5" customWidth="1"/>
    <col min="1540" max="1792" width="11.9140625" style="5"/>
    <col min="1793" max="1793" width="1.33203125" style="5" customWidth="1"/>
    <col min="1794" max="1794" width="129.25" style="5" customWidth="1"/>
    <col min="1795" max="1795" width="1.33203125" style="5" customWidth="1"/>
    <col min="1796" max="2048" width="11.9140625" style="5"/>
    <col min="2049" max="2049" width="1.33203125" style="5" customWidth="1"/>
    <col min="2050" max="2050" width="129.25" style="5" customWidth="1"/>
    <col min="2051" max="2051" width="1.33203125" style="5" customWidth="1"/>
    <col min="2052" max="2304" width="11.9140625" style="5"/>
    <col min="2305" max="2305" width="1.33203125" style="5" customWidth="1"/>
    <col min="2306" max="2306" width="129.25" style="5" customWidth="1"/>
    <col min="2307" max="2307" width="1.33203125" style="5" customWidth="1"/>
    <col min="2308" max="2560" width="11.9140625" style="5"/>
    <col min="2561" max="2561" width="1.33203125" style="5" customWidth="1"/>
    <col min="2562" max="2562" width="129.25" style="5" customWidth="1"/>
    <col min="2563" max="2563" width="1.33203125" style="5" customWidth="1"/>
    <col min="2564" max="2816" width="11.9140625" style="5"/>
    <col min="2817" max="2817" width="1.33203125" style="5" customWidth="1"/>
    <col min="2818" max="2818" width="129.25" style="5" customWidth="1"/>
    <col min="2819" max="2819" width="1.33203125" style="5" customWidth="1"/>
    <col min="2820" max="3072" width="11.9140625" style="5"/>
    <col min="3073" max="3073" width="1.33203125" style="5" customWidth="1"/>
    <col min="3074" max="3074" width="129.25" style="5" customWidth="1"/>
    <col min="3075" max="3075" width="1.33203125" style="5" customWidth="1"/>
    <col min="3076" max="3328" width="11.9140625" style="5"/>
    <col min="3329" max="3329" width="1.33203125" style="5" customWidth="1"/>
    <col min="3330" max="3330" width="129.25" style="5" customWidth="1"/>
    <col min="3331" max="3331" width="1.33203125" style="5" customWidth="1"/>
    <col min="3332" max="3584" width="11.9140625" style="5"/>
    <col min="3585" max="3585" width="1.33203125" style="5" customWidth="1"/>
    <col min="3586" max="3586" width="129.25" style="5" customWidth="1"/>
    <col min="3587" max="3587" width="1.33203125" style="5" customWidth="1"/>
    <col min="3588" max="3840" width="11.9140625" style="5"/>
    <col min="3841" max="3841" width="1.33203125" style="5" customWidth="1"/>
    <col min="3842" max="3842" width="129.25" style="5" customWidth="1"/>
    <col min="3843" max="3843" width="1.33203125" style="5" customWidth="1"/>
    <col min="3844" max="4096" width="11.9140625" style="5"/>
    <col min="4097" max="4097" width="1.33203125" style="5" customWidth="1"/>
    <col min="4098" max="4098" width="129.25" style="5" customWidth="1"/>
    <col min="4099" max="4099" width="1.33203125" style="5" customWidth="1"/>
    <col min="4100" max="4352" width="11.9140625" style="5"/>
    <col min="4353" max="4353" width="1.33203125" style="5" customWidth="1"/>
    <col min="4354" max="4354" width="129.25" style="5" customWidth="1"/>
    <col min="4355" max="4355" width="1.33203125" style="5" customWidth="1"/>
    <col min="4356" max="4608" width="11.9140625" style="5"/>
    <col min="4609" max="4609" width="1.33203125" style="5" customWidth="1"/>
    <col min="4610" max="4610" width="129.25" style="5" customWidth="1"/>
    <col min="4611" max="4611" width="1.33203125" style="5" customWidth="1"/>
    <col min="4612" max="4864" width="11.9140625" style="5"/>
    <col min="4865" max="4865" width="1.33203125" style="5" customWidth="1"/>
    <col min="4866" max="4866" width="129.25" style="5" customWidth="1"/>
    <col min="4867" max="4867" width="1.33203125" style="5" customWidth="1"/>
    <col min="4868" max="5120" width="11.9140625" style="5"/>
    <col min="5121" max="5121" width="1.33203125" style="5" customWidth="1"/>
    <col min="5122" max="5122" width="129.25" style="5" customWidth="1"/>
    <col min="5123" max="5123" width="1.33203125" style="5" customWidth="1"/>
    <col min="5124" max="5376" width="11.9140625" style="5"/>
    <col min="5377" max="5377" width="1.33203125" style="5" customWidth="1"/>
    <col min="5378" max="5378" width="129.25" style="5" customWidth="1"/>
    <col min="5379" max="5379" width="1.33203125" style="5" customWidth="1"/>
    <col min="5380" max="5632" width="11.9140625" style="5"/>
    <col min="5633" max="5633" width="1.33203125" style="5" customWidth="1"/>
    <col min="5634" max="5634" width="129.25" style="5" customWidth="1"/>
    <col min="5635" max="5635" width="1.33203125" style="5" customWidth="1"/>
    <col min="5636" max="5888" width="11.9140625" style="5"/>
    <col min="5889" max="5889" width="1.33203125" style="5" customWidth="1"/>
    <col min="5890" max="5890" width="129.25" style="5" customWidth="1"/>
    <col min="5891" max="5891" width="1.33203125" style="5" customWidth="1"/>
    <col min="5892" max="6144" width="11.9140625" style="5"/>
    <col min="6145" max="6145" width="1.33203125" style="5" customWidth="1"/>
    <col min="6146" max="6146" width="129.25" style="5" customWidth="1"/>
    <col min="6147" max="6147" width="1.33203125" style="5" customWidth="1"/>
    <col min="6148" max="6400" width="11.9140625" style="5"/>
    <col min="6401" max="6401" width="1.33203125" style="5" customWidth="1"/>
    <col min="6402" max="6402" width="129.25" style="5" customWidth="1"/>
    <col min="6403" max="6403" width="1.33203125" style="5" customWidth="1"/>
    <col min="6404" max="6656" width="11.9140625" style="5"/>
    <col min="6657" max="6657" width="1.33203125" style="5" customWidth="1"/>
    <col min="6658" max="6658" width="129.25" style="5" customWidth="1"/>
    <col min="6659" max="6659" width="1.33203125" style="5" customWidth="1"/>
    <col min="6660" max="6912" width="11.9140625" style="5"/>
    <col min="6913" max="6913" width="1.33203125" style="5" customWidth="1"/>
    <col min="6914" max="6914" width="129.25" style="5" customWidth="1"/>
    <col min="6915" max="6915" width="1.33203125" style="5" customWidth="1"/>
    <col min="6916" max="7168" width="11.9140625" style="5"/>
    <col min="7169" max="7169" width="1.33203125" style="5" customWidth="1"/>
    <col min="7170" max="7170" width="129.25" style="5" customWidth="1"/>
    <col min="7171" max="7171" width="1.33203125" style="5" customWidth="1"/>
    <col min="7172" max="7424" width="11.9140625" style="5"/>
    <col min="7425" max="7425" width="1.33203125" style="5" customWidth="1"/>
    <col min="7426" max="7426" width="129.25" style="5" customWidth="1"/>
    <col min="7427" max="7427" width="1.33203125" style="5" customWidth="1"/>
    <col min="7428" max="7680" width="11.9140625" style="5"/>
    <col min="7681" max="7681" width="1.33203125" style="5" customWidth="1"/>
    <col min="7682" max="7682" width="129.25" style="5" customWidth="1"/>
    <col min="7683" max="7683" width="1.33203125" style="5" customWidth="1"/>
    <col min="7684" max="7936" width="11.9140625" style="5"/>
    <col min="7937" max="7937" width="1.33203125" style="5" customWidth="1"/>
    <col min="7938" max="7938" width="129.25" style="5" customWidth="1"/>
    <col min="7939" max="7939" width="1.33203125" style="5" customWidth="1"/>
    <col min="7940" max="8192" width="11.9140625" style="5"/>
    <col min="8193" max="8193" width="1.33203125" style="5" customWidth="1"/>
    <col min="8194" max="8194" width="129.25" style="5" customWidth="1"/>
    <col min="8195" max="8195" width="1.33203125" style="5" customWidth="1"/>
    <col min="8196" max="8448" width="11.9140625" style="5"/>
    <col min="8449" max="8449" width="1.33203125" style="5" customWidth="1"/>
    <col min="8450" max="8450" width="129.25" style="5" customWidth="1"/>
    <col min="8451" max="8451" width="1.33203125" style="5" customWidth="1"/>
    <col min="8452" max="8704" width="11.9140625" style="5"/>
    <col min="8705" max="8705" width="1.33203125" style="5" customWidth="1"/>
    <col min="8706" max="8706" width="129.25" style="5" customWidth="1"/>
    <col min="8707" max="8707" width="1.33203125" style="5" customWidth="1"/>
    <col min="8708" max="8960" width="11.9140625" style="5"/>
    <col min="8961" max="8961" width="1.33203125" style="5" customWidth="1"/>
    <col min="8962" max="8962" width="129.25" style="5" customWidth="1"/>
    <col min="8963" max="8963" width="1.33203125" style="5" customWidth="1"/>
    <col min="8964" max="9216" width="11.9140625" style="5"/>
    <col min="9217" max="9217" width="1.33203125" style="5" customWidth="1"/>
    <col min="9218" max="9218" width="129.25" style="5" customWidth="1"/>
    <col min="9219" max="9219" width="1.33203125" style="5" customWidth="1"/>
    <col min="9220" max="9472" width="11.9140625" style="5"/>
    <col min="9473" max="9473" width="1.33203125" style="5" customWidth="1"/>
    <col min="9474" max="9474" width="129.25" style="5" customWidth="1"/>
    <col min="9475" max="9475" width="1.33203125" style="5" customWidth="1"/>
    <col min="9476" max="9728" width="11.9140625" style="5"/>
    <col min="9729" max="9729" width="1.33203125" style="5" customWidth="1"/>
    <col min="9730" max="9730" width="129.25" style="5" customWidth="1"/>
    <col min="9731" max="9731" width="1.33203125" style="5" customWidth="1"/>
    <col min="9732" max="9984" width="11.9140625" style="5"/>
    <col min="9985" max="9985" width="1.33203125" style="5" customWidth="1"/>
    <col min="9986" max="9986" width="129.25" style="5" customWidth="1"/>
    <col min="9987" max="9987" width="1.33203125" style="5" customWidth="1"/>
    <col min="9988" max="10240" width="11.9140625" style="5"/>
    <col min="10241" max="10241" width="1.33203125" style="5" customWidth="1"/>
    <col min="10242" max="10242" width="129.25" style="5" customWidth="1"/>
    <col min="10243" max="10243" width="1.33203125" style="5" customWidth="1"/>
    <col min="10244" max="10496" width="11.9140625" style="5"/>
    <col min="10497" max="10497" width="1.33203125" style="5" customWidth="1"/>
    <col min="10498" max="10498" width="129.25" style="5" customWidth="1"/>
    <col min="10499" max="10499" width="1.33203125" style="5" customWidth="1"/>
    <col min="10500" max="10752" width="11.9140625" style="5"/>
    <col min="10753" max="10753" width="1.33203125" style="5" customWidth="1"/>
    <col min="10754" max="10754" width="129.25" style="5" customWidth="1"/>
    <col min="10755" max="10755" width="1.33203125" style="5" customWidth="1"/>
    <col min="10756" max="11008" width="11.9140625" style="5"/>
    <col min="11009" max="11009" width="1.33203125" style="5" customWidth="1"/>
    <col min="11010" max="11010" width="129.25" style="5" customWidth="1"/>
    <col min="11011" max="11011" width="1.33203125" style="5" customWidth="1"/>
    <col min="11012" max="11264" width="11.9140625" style="5"/>
    <col min="11265" max="11265" width="1.33203125" style="5" customWidth="1"/>
    <col min="11266" max="11266" width="129.25" style="5" customWidth="1"/>
    <col min="11267" max="11267" width="1.33203125" style="5" customWidth="1"/>
    <col min="11268" max="11520" width="11.9140625" style="5"/>
    <col min="11521" max="11521" width="1.33203125" style="5" customWidth="1"/>
    <col min="11522" max="11522" width="129.25" style="5" customWidth="1"/>
    <col min="11523" max="11523" width="1.33203125" style="5" customWidth="1"/>
    <col min="11524" max="11776" width="11.9140625" style="5"/>
    <col min="11777" max="11777" width="1.33203125" style="5" customWidth="1"/>
    <col min="11778" max="11778" width="129.25" style="5" customWidth="1"/>
    <col min="11779" max="11779" width="1.33203125" style="5" customWidth="1"/>
    <col min="11780" max="12032" width="11.9140625" style="5"/>
    <col min="12033" max="12033" width="1.33203125" style="5" customWidth="1"/>
    <col min="12034" max="12034" width="129.25" style="5" customWidth="1"/>
    <col min="12035" max="12035" width="1.33203125" style="5" customWidth="1"/>
    <col min="12036" max="12288" width="11.9140625" style="5"/>
    <col min="12289" max="12289" width="1.33203125" style="5" customWidth="1"/>
    <col min="12290" max="12290" width="129.25" style="5" customWidth="1"/>
    <col min="12291" max="12291" width="1.33203125" style="5" customWidth="1"/>
    <col min="12292" max="12544" width="11.9140625" style="5"/>
    <col min="12545" max="12545" width="1.33203125" style="5" customWidth="1"/>
    <col min="12546" max="12546" width="129.25" style="5" customWidth="1"/>
    <col min="12547" max="12547" width="1.33203125" style="5" customWidth="1"/>
    <col min="12548" max="12800" width="11.9140625" style="5"/>
    <col min="12801" max="12801" width="1.33203125" style="5" customWidth="1"/>
    <col min="12802" max="12802" width="129.25" style="5" customWidth="1"/>
    <col min="12803" max="12803" width="1.33203125" style="5" customWidth="1"/>
    <col min="12804" max="13056" width="11.9140625" style="5"/>
    <col min="13057" max="13057" width="1.33203125" style="5" customWidth="1"/>
    <col min="13058" max="13058" width="129.25" style="5" customWidth="1"/>
    <col min="13059" max="13059" width="1.33203125" style="5" customWidth="1"/>
    <col min="13060" max="13312" width="11.9140625" style="5"/>
    <col min="13313" max="13313" width="1.33203125" style="5" customWidth="1"/>
    <col min="13314" max="13314" width="129.25" style="5" customWidth="1"/>
    <col min="13315" max="13315" width="1.33203125" style="5" customWidth="1"/>
    <col min="13316" max="13568" width="11.9140625" style="5"/>
    <col min="13569" max="13569" width="1.33203125" style="5" customWidth="1"/>
    <col min="13570" max="13570" width="129.25" style="5" customWidth="1"/>
    <col min="13571" max="13571" width="1.33203125" style="5" customWidth="1"/>
    <col min="13572" max="13824" width="11.9140625" style="5"/>
    <col min="13825" max="13825" width="1.33203125" style="5" customWidth="1"/>
    <col min="13826" max="13826" width="129.25" style="5" customWidth="1"/>
    <col min="13827" max="13827" width="1.33203125" style="5" customWidth="1"/>
    <col min="13828" max="14080" width="11.9140625" style="5"/>
    <col min="14081" max="14081" width="1.33203125" style="5" customWidth="1"/>
    <col min="14082" max="14082" width="129.25" style="5" customWidth="1"/>
    <col min="14083" max="14083" width="1.33203125" style="5" customWidth="1"/>
    <col min="14084" max="14336" width="11.9140625" style="5"/>
    <col min="14337" max="14337" width="1.33203125" style="5" customWidth="1"/>
    <col min="14338" max="14338" width="129.25" style="5" customWidth="1"/>
    <col min="14339" max="14339" width="1.33203125" style="5" customWidth="1"/>
    <col min="14340" max="14592" width="11.9140625" style="5"/>
    <col min="14593" max="14593" width="1.33203125" style="5" customWidth="1"/>
    <col min="14594" max="14594" width="129.25" style="5" customWidth="1"/>
    <col min="14595" max="14595" width="1.33203125" style="5" customWidth="1"/>
    <col min="14596" max="14848" width="11.9140625" style="5"/>
    <col min="14849" max="14849" width="1.33203125" style="5" customWidth="1"/>
    <col min="14850" max="14850" width="129.25" style="5" customWidth="1"/>
    <col min="14851" max="14851" width="1.33203125" style="5" customWidth="1"/>
    <col min="14852" max="15104" width="11.9140625" style="5"/>
    <col min="15105" max="15105" width="1.33203125" style="5" customWidth="1"/>
    <col min="15106" max="15106" width="129.25" style="5" customWidth="1"/>
    <col min="15107" max="15107" width="1.33203125" style="5" customWidth="1"/>
    <col min="15108" max="15360" width="11.9140625" style="5"/>
    <col min="15361" max="15361" width="1.33203125" style="5" customWidth="1"/>
    <col min="15362" max="15362" width="129.25" style="5" customWidth="1"/>
    <col min="15363" max="15363" width="1.33203125" style="5" customWidth="1"/>
    <col min="15364" max="15616" width="11.9140625" style="5"/>
    <col min="15617" max="15617" width="1.33203125" style="5" customWidth="1"/>
    <col min="15618" max="15618" width="129.25" style="5" customWidth="1"/>
    <col min="15619" max="15619" width="1.33203125" style="5" customWidth="1"/>
    <col min="15620" max="15872" width="11.9140625" style="5"/>
    <col min="15873" max="15873" width="1.33203125" style="5" customWidth="1"/>
    <col min="15874" max="15874" width="129.25" style="5" customWidth="1"/>
    <col min="15875" max="15875" width="1.33203125" style="5" customWidth="1"/>
    <col min="15876" max="16128" width="11.9140625" style="5"/>
    <col min="16129" max="16129" width="1.33203125" style="5" customWidth="1"/>
    <col min="16130" max="16130" width="129.25" style="5" customWidth="1"/>
    <col min="16131" max="16131" width="1.33203125" style="5" customWidth="1"/>
    <col min="16132" max="16384" width="11.9140625" style="5"/>
  </cols>
  <sheetData>
    <row r="1" spans="1:3" ht="36" customHeight="1">
      <c r="A1" s="3"/>
      <c r="B1" s="21" t="s">
        <v>171</v>
      </c>
      <c r="C1" s="4"/>
    </row>
    <row r="2" spans="1:3">
      <c r="A2" s="6"/>
      <c r="B2" s="7"/>
      <c r="C2" s="8"/>
    </row>
    <row r="3" spans="1:3" ht="24" customHeight="1">
      <c r="A3" s="6"/>
      <c r="B3" s="9" t="s">
        <v>172</v>
      </c>
      <c r="C3" s="8"/>
    </row>
    <row r="4" spans="1:3" ht="6" customHeight="1">
      <c r="A4" s="6"/>
      <c r="B4" s="7"/>
      <c r="C4" s="8"/>
    </row>
    <row r="5" spans="1:3" ht="79.5" customHeight="1">
      <c r="A5" s="6"/>
      <c r="B5" s="7" t="s">
        <v>174</v>
      </c>
      <c r="C5" s="8"/>
    </row>
    <row r="6" spans="1:3">
      <c r="A6" s="6"/>
      <c r="B6" s="7"/>
      <c r="C6" s="8"/>
    </row>
    <row r="7" spans="1:3" ht="24" customHeight="1">
      <c r="A7" s="6"/>
      <c r="B7" s="9" t="s">
        <v>149</v>
      </c>
      <c r="C7" s="8"/>
    </row>
    <row r="8" spans="1:3" ht="6" customHeight="1">
      <c r="A8" s="6"/>
      <c r="B8" s="7"/>
      <c r="C8" s="8"/>
    </row>
    <row r="9" spans="1:3" ht="51" customHeight="1">
      <c r="A9" s="6"/>
      <c r="B9" s="7" t="s">
        <v>158</v>
      </c>
      <c r="C9" s="8"/>
    </row>
    <row r="10" spans="1:3" ht="100.5" customHeight="1">
      <c r="A10" s="6"/>
      <c r="B10" s="7" t="s">
        <v>150</v>
      </c>
      <c r="C10" s="8"/>
    </row>
    <row r="11" spans="1:3" ht="35" customHeight="1">
      <c r="A11" s="6"/>
      <c r="B11" s="7" t="s">
        <v>151</v>
      </c>
      <c r="C11" s="8"/>
    </row>
    <row r="12" spans="1:3" ht="34.5" customHeight="1">
      <c r="A12" s="6"/>
      <c r="B12" s="7" t="s">
        <v>152</v>
      </c>
      <c r="C12" s="8"/>
    </row>
    <row r="13" spans="1:3" ht="34.5" customHeight="1">
      <c r="A13" s="6"/>
      <c r="B13" s="7" t="s">
        <v>175</v>
      </c>
      <c r="C13" s="8"/>
    </row>
    <row r="14" spans="1:3">
      <c r="A14" s="6"/>
      <c r="B14" s="7"/>
      <c r="C14" s="8"/>
    </row>
    <row r="15" spans="1:3" ht="24" customHeight="1">
      <c r="A15" s="6"/>
      <c r="B15" s="9" t="s">
        <v>153</v>
      </c>
      <c r="C15" s="8"/>
    </row>
    <row r="16" spans="1:3" ht="58.75" customHeight="1">
      <c r="A16" s="6"/>
      <c r="B16" s="7" t="s">
        <v>177</v>
      </c>
      <c r="C16" s="8"/>
    </row>
    <row r="17" spans="1:3">
      <c r="A17" s="6"/>
      <c r="B17" s="7"/>
      <c r="C17" s="8"/>
    </row>
    <row r="18" spans="1:3" ht="24" customHeight="1">
      <c r="A18" s="6"/>
      <c r="B18" s="9" t="s">
        <v>213</v>
      </c>
      <c r="C18" s="8"/>
    </row>
    <row r="19" spans="1:3" ht="82.5">
      <c r="A19" s="6"/>
      <c r="B19" s="7" t="s">
        <v>221</v>
      </c>
      <c r="C19" s="8"/>
    </row>
    <row r="20" spans="1:3" ht="26.15" customHeight="1">
      <c r="A20" s="6"/>
      <c r="B20" s="7" t="s">
        <v>217</v>
      </c>
      <c r="C20" s="8"/>
    </row>
    <row r="21" spans="1:3" ht="9" customHeight="1">
      <c r="A21" s="6"/>
      <c r="B21" s="7"/>
      <c r="C21" s="8"/>
    </row>
    <row r="22" spans="1:3">
      <c r="A22" s="6"/>
      <c r="B22" s="7" t="s">
        <v>160</v>
      </c>
      <c r="C22" s="8"/>
    </row>
    <row r="23" spans="1:3">
      <c r="A23" s="6"/>
      <c r="B23" s="7" t="s">
        <v>222</v>
      </c>
      <c r="C23" s="8"/>
    </row>
    <row r="24" spans="1:3">
      <c r="A24" s="6"/>
      <c r="B24" s="7" t="s">
        <v>178</v>
      </c>
      <c r="C24" s="8"/>
    </row>
    <row r="25" spans="1:3">
      <c r="A25" s="6"/>
      <c r="B25" s="7" t="s">
        <v>179</v>
      </c>
      <c r="C25" s="8"/>
    </row>
    <row r="26" spans="1:3">
      <c r="A26" s="6"/>
      <c r="B26" s="7" t="s">
        <v>180</v>
      </c>
      <c r="C26" s="8"/>
    </row>
    <row r="27" spans="1:3" ht="20.5">
      <c r="A27" s="6"/>
      <c r="B27" s="7" t="s">
        <v>185</v>
      </c>
      <c r="C27" s="8"/>
    </row>
    <row r="28" spans="1:3" ht="20.5">
      <c r="A28" s="6"/>
      <c r="B28" s="27" t="s">
        <v>181</v>
      </c>
      <c r="C28" s="8"/>
    </row>
    <row r="29" spans="1:3" ht="20.5">
      <c r="A29" s="6"/>
      <c r="B29" s="27" t="s">
        <v>182</v>
      </c>
      <c r="C29" s="8"/>
    </row>
    <row r="30" spans="1:3">
      <c r="A30" s="6"/>
      <c r="B30" s="27" t="s">
        <v>183</v>
      </c>
      <c r="C30" s="8"/>
    </row>
    <row r="31" spans="1:3">
      <c r="A31" s="6"/>
      <c r="B31" s="27" t="s">
        <v>184</v>
      </c>
      <c r="C31" s="8"/>
    </row>
    <row r="32" spans="1:3" ht="33">
      <c r="A32" s="6"/>
      <c r="B32" s="27" t="s">
        <v>186</v>
      </c>
      <c r="C32" s="8"/>
    </row>
    <row r="33" spans="1:3" ht="21.5">
      <c r="A33" s="6"/>
      <c r="B33" s="27" t="s">
        <v>188</v>
      </c>
      <c r="C33" s="8"/>
    </row>
    <row r="34" spans="1:3" ht="33">
      <c r="A34" s="6"/>
      <c r="B34" s="27" t="s">
        <v>189</v>
      </c>
      <c r="C34" s="8"/>
    </row>
    <row r="35" spans="1:3" ht="33">
      <c r="A35" s="6"/>
      <c r="B35" s="27" t="s">
        <v>219</v>
      </c>
      <c r="C35" s="8"/>
    </row>
    <row r="36" spans="1:3" ht="33">
      <c r="A36" s="6"/>
      <c r="B36" s="27" t="s">
        <v>210</v>
      </c>
      <c r="C36" s="8"/>
    </row>
    <row r="37" spans="1:3">
      <c r="A37" s="6"/>
      <c r="B37" s="27" t="s">
        <v>211</v>
      </c>
      <c r="C37" s="8"/>
    </row>
    <row r="38" spans="1:3" ht="17" thickBot="1">
      <c r="A38" s="24"/>
      <c r="B38" s="25"/>
      <c r="C38" s="26"/>
    </row>
    <row r="39" spans="1:3">
      <c r="A39" s="22"/>
      <c r="B39" s="10"/>
      <c r="C39" s="23"/>
    </row>
    <row r="40" spans="1:3">
      <c r="A40" s="12"/>
      <c r="B40" s="11"/>
      <c r="C40" s="13"/>
    </row>
    <row r="41" spans="1:3">
      <c r="A41" s="12"/>
      <c r="B41" s="11"/>
      <c r="C41" s="13"/>
    </row>
    <row r="42" spans="1:3">
      <c r="A42" s="12"/>
      <c r="B42" s="11"/>
      <c r="C42" s="13"/>
    </row>
    <row r="43" spans="1:3">
      <c r="A43" s="12"/>
      <c r="B43" s="11"/>
      <c r="C43" s="13"/>
    </row>
    <row r="44" spans="1:3">
      <c r="A44" s="12"/>
      <c r="B44" s="11"/>
      <c r="C44" s="13"/>
    </row>
    <row r="45" spans="1:3">
      <c r="A45" s="12"/>
      <c r="B45" s="11"/>
      <c r="C45" s="13"/>
    </row>
    <row r="46" spans="1:3">
      <c r="A46" s="12"/>
      <c r="B46" s="11"/>
      <c r="C46" s="13"/>
    </row>
    <row r="47" spans="1:3">
      <c r="A47" s="12"/>
      <c r="B47" s="11"/>
      <c r="C47" s="13"/>
    </row>
    <row r="48" spans="1:3">
      <c r="A48" s="12"/>
      <c r="B48" s="11"/>
      <c r="C48" s="13"/>
    </row>
    <row r="49" spans="1:3">
      <c r="A49" s="12"/>
      <c r="B49" s="11"/>
      <c r="C49" s="13"/>
    </row>
    <row r="50" spans="1:3">
      <c r="A50" s="12"/>
      <c r="B50" s="11"/>
      <c r="C50" s="13"/>
    </row>
    <row r="51" spans="1:3">
      <c r="A51" s="12"/>
      <c r="B51" s="11"/>
      <c r="C51" s="13"/>
    </row>
    <row r="52" spans="1:3">
      <c r="A52" s="12"/>
      <c r="B52" s="11"/>
      <c r="C52" s="13"/>
    </row>
    <row r="53" spans="1:3">
      <c r="A53" s="12"/>
      <c r="B53" s="11"/>
      <c r="C53" s="13"/>
    </row>
    <row r="54" spans="1:3">
      <c r="A54" s="12"/>
      <c r="B54" s="11"/>
      <c r="C54" s="13"/>
    </row>
    <row r="55" spans="1:3">
      <c r="A55" s="12"/>
      <c r="B55" s="11"/>
      <c r="C55" s="13"/>
    </row>
    <row r="56" spans="1:3">
      <c r="A56" s="12"/>
      <c r="B56" s="11"/>
      <c r="C56" s="13"/>
    </row>
    <row r="57" spans="1:3">
      <c r="A57" s="12"/>
      <c r="B57" s="11"/>
      <c r="C57" s="13"/>
    </row>
    <row r="58" spans="1:3">
      <c r="A58" s="12"/>
      <c r="B58" s="11"/>
      <c r="C58" s="13"/>
    </row>
    <row r="59" spans="1:3">
      <c r="A59" s="12"/>
      <c r="B59" s="11"/>
      <c r="C59" s="13"/>
    </row>
    <row r="60" spans="1:3">
      <c r="A60" s="12"/>
      <c r="B60" s="11"/>
      <c r="C60" s="13"/>
    </row>
    <row r="61" spans="1:3">
      <c r="A61" s="12"/>
      <c r="B61" s="11"/>
      <c r="C61" s="13"/>
    </row>
    <row r="62" spans="1:3">
      <c r="A62" s="12"/>
      <c r="B62" s="11"/>
      <c r="C62" s="13"/>
    </row>
    <row r="63" spans="1:3">
      <c r="A63" s="12"/>
      <c r="B63" s="11"/>
      <c r="C63" s="13"/>
    </row>
    <row r="64" spans="1:3">
      <c r="A64" s="12"/>
      <c r="B64" s="11"/>
      <c r="C64" s="13"/>
    </row>
    <row r="65" spans="1:3">
      <c r="A65" s="12"/>
      <c r="B65" s="11"/>
      <c r="C65" s="13"/>
    </row>
    <row r="66" spans="1:3">
      <c r="A66" s="12"/>
      <c r="B66" s="11"/>
      <c r="C66" s="13"/>
    </row>
    <row r="67" spans="1:3">
      <c r="A67" s="12"/>
      <c r="B67" s="11"/>
      <c r="C67" s="13"/>
    </row>
    <row r="68" spans="1:3">
      <c r="A68" s="12"/>
      <c r="B68" s="11"/>
      <c r="C68" s="13"/>
    </row>
    <row r="69" spans="1:3">
      <c r="A69" s="12"/>
      <c r="B69" s="11"/>
      <c r="C69" s="13"/>
    </row>
    <row r="70" spans="1:3">
      <c r="A70" s="12"/>
      <c r="B70" s="11"/>
      <c r="C70" s="13"/>
    </row>
    <row r="71" spans="1:3">
      <c r="A71" s="12"/>
      <c r="B71" s="11"/>
      <c r="C71" s="13"/>
    </row>
    <row r="72" spans="1:3">
      <c r="A72" s="12"/>
      <c r="B72" s="11"/>
      <c r="C72" s="13"/>
    </row>
    <row r="73" spans="1:3">
      <c r="A73" s="12"/>
      <c r="B73" s="11"/>
      <c r="C73" s="13"/>
    </row>
    <row r="74" spans="1:3">
      <c r="A74" s="12"/>
      <c r="B74" s="11"/>
      <c r="C74" s="13"/>
    </row>
    <row r="75" spans="1:3">
      <c r="A75" s="12"/>
      <c r="B75" s="11"/>
      <c r="C75" s="13"/>
    </row>
    <row r="76" spans="1:3">
      <c r="A76" s="12"/>
      <c r="B76" s="11"/>
      <c r="C76" s="13"/>
    </row>
    <row r="77" spans="1:3">
      <c r="A77" s="12"/>
      <c r="B77" s="11"/>
      <c r="C77" s="13"/>
    </row>
    <row r="78" spans="1:3">
      <c r="A78" s="12"/>
      <c r="B78" s="11"/>
      <c r="C78" s="13"/>
    </row>
    <row r="79" spans="1:3">
      <c r="A79" s="12"/>
      <c r="B79" s="11"/>
      <c r="C79" s="13"/>
    </row>
    <row r="80" spans="1:3">
      <c r="A80" s="12"/>
      <c r="B80" s="11"/>
      <c r="C80" s="13"/>
    </row>
    <row r="81" spans="1:3">
      <c r="A81" s="12"/>
      <c r="B81" s="11"/>
      <c r="C81" s="13"/>
    </row>
    <row r="82" spans="1:3">
      <c r="A82" s="12"/>
      <c r="B82" s="11"/>
      <c r="C82" s="13"/>
    </row>
    <row r="83" spans="1:3">
      <c r="A83" s="12"/>
      <c r="B83" s="11"/>
      <c r="C83" s="13"/>
    </row>
    <row r="84" spans="1:3">
      <c r="A84" s="12"/>
      <c r="B84" s="11"/>
      <c r="C84" s="13"/>
    </row>
    <row r="85" spans="1:3">
      <c r="A85" s="12"/>
      <c r="B85" s="11"/>
      <c r="C85" s="13"/>
    </row>
    <row r="86" spans="1:3">
      <c r="A86" s="12"/>
      <c r="B86" s="11"/>
      <c r="C86" s="13"/>
    </row>
    <row r="87" spans="1:3">
      <c r="A87" s="12"/>
      <c r="B87" s="11"/>
      <c r="C87" s="13"/>
    </row>
    <row r="88" spans="1:3">
      <c r="A88" s="12"/>
      <c r="B88" s="11"/>
      <c r="C88" s="13"/>
    </row>
    <row r="89" spans="1:3">
      <c r="A89" s="12"/>
      <c r="B89" s="11"/>
      <c r="C89" s="13"/>
    </row>
    <row r="90" spans="1:3">
      <c r="A90" s="12"/>
      <c r="B90" s="11"/>
      <c r="C90" s="13"/>
    </row>
    <row r="91" spans="1:3">
      <c r="A91" s="12"/>
      <c r="B91" s="14"/>
      <c r="C91" s="13"/>
    </row>
    <row r="92" spans="1:3">
      <c r="A92" s="15"/>
      <c r="B92" s="16"/>
      <c r="C92" s="17"/>
    </row>
    <row r="93" spans="1:3">
      <c r="A93" s="15"/>
      <c r="B93" s="16"/>
      <c r="C93" s="17"/>
    </row>
    <row r="94" spans="1:3">
      <c r="A94" s="15"/>
      <c r="B94" s="16"/>
      <c r="C94" s="17"/>
    </row>
    <row r="95" spans="1:3">
      <c r="A95" s="15"/>
      <c r="B95" s="16"/>
      <c r="C95" s="17"/>
    </row>
    <row r="96" spans="1:3">
      <c r="A96" s="15"/>
      <c r="B96" s="16"/>
      <c r="C96" s="17"/>
    </row>
    <row r="97" spans="1:3">
      <c r="A97" s="15"/>
      <c r="B97" s="16"/>
      <c r="C97" s="17"/>
    </row>
    <row r="98" spans="1:3">
      <c r="A98" s="15"/>
      <c r="B98" s="16"/>
      <c r="C98" s="17"/>
    </row>
    <row r="99" spans="1:3">
      <c r="A99" s="15"/>
      <c r="B99" s="16"/>
      <c r="C99" s="17"/>
    </row>
    <row r="100" spans="1:3">
      <c r="A100" s="15"/>
      <c r="B100" s="16"/>
      <c r="C100" s="17"/>
    </row>
    <row r="101" spans="1:3">
      <c r="A101" s="15"/>
      <c r="B101" s="16"/>
      <c r="C101" s="17"/>
    </row>
    <row r="102" spans="1:3">
      <c r="A102" s="15"/>
      <c r="B102" s="16"/>
      <c r="C102" s="17"/>
    </row>
    <row r="103" spans="1:3" ht="33">
      <c r="A103" s="15"/>
      <c r="B103" s="19" t="s">
        <v>216</v>
      </c>
      <c r="C103" s="17"/>
    </row>
    <row r="104" spans="1:3">
      <c r="A104" s="18"/>
      <c r="B104" s="19"/>
      <c r="C104" s="18"/>
    </row>
    <row r="105" spans="1:3">
      <c r="A105" s="18"/>
      <c r="B105" s="16"/>
      <c r="C105" s="18"/>
    </row>
    <row r="106" spans="1:3">
      <c r="A106" s="18"/>
      <c r="B106" s="16"/>
      <c r="C106" s="18"/>
    </row>
    <row r="107" spans="1:3">
      <c r="A107" s="18"/>
      <c r="B107" s="16"/>
      <c r="C107" s="18"/>
    </row>
    <row r="108" spans="1:3">
      <c r="A108" s="18"/>
      <c r="B108" s="16"/>
      <c r="C108" s="18"/>
    </row>
    <row r="109" spans="1:3">
      <c r="A109" s="18"/>
      <c r="B109" s="16"/>
      <c r="C109" s="18"/>
    </row>
    <row r="110" spans="1:3">
      <c r="A110" s="18"/>
      <c r="B110" s="16"/>
      <c r="C110" s="18"/>
    </row>
    <row r="111" spans="1:3">
      <c r="A111" s="18"/>
      <c r="B111" s="16"/>
      <c r="C111" s="18"/>
    </row>
    <row r="112" spans="1:3">
      <c r="A112" s="18"/>
      <c r="B112" s="16"/>
      <c r="C112" s="18"/>
    </row>
    <row r="113" spans="1:3">
      <c r="A113" s="18"/>
      <c r="B113" s="16"/>
      <c r="C113" s="18"/>
    </row>
    <row r="114" spans="1:3">
      <c r="A114" s="18"/>
      <c r="B114" s="16"/>
      <c r="C114" s="18"/>
    </row>
    <row r="115" spans="1:3">
      <c r="A115" s="18"/>
      <c r="B115" s="16"/>
      <c r="C115" s="18"/>
    </row>
    <row r="116" spans="1:3">
      <c r="A116" s="18"/>
      <c r="B116" s="16"/>
      <c r="C116" s="18"/>
    </row>
    <row r="117" spans="1:3">
      <c r="A117" s="18"/>
      <c r="B117" s="16"/>
      <c r="C117" s="18"/>
    </row>
    <row r="118" spans="1:3">
      <c r="A118" s="18"/>
      <c r="B118" s="16"/>
      <c r="C118" s="18"/>
    </row>
    <row r="119" spans="1:3">
      <c r="A119" s="18"/>
      <c r="B119" s="16"/>
      <c r="C119" s="18"/>
    </row>
    <row r="120" spans="1:3">
      <c r="A120" s="18"/>
      <c r="B120" s="16"/>
      <c r="C120" s="18"/>
    </row>
    <row r="121" spans="1:3">
      <c r="A121" s="18"/>
      <c r="B121" s="16"/>
      <c r="C121" s="18"/>
    </row>
    <row r="122" spans="1:3">
      <c r="A122" s="18"/>
      <c r="B122" s="16"/>
      <c r="C122" s="18"/>
    </row>
    <row r="123" spans="1:3">
      <c r="A123" s="18"/>
      <c r="B123" s="16"/>
      <c r="C123" s="18"/>
    </row>
    <row r="124" spans="1:3">
      <c r="A124" s="18"/>
      <c r="B124" s="16"/>
      <c r="C124" s="18"/>
    </row>
    <row r="125" spans="1:3">
      <c r="A125" s="18"/>
      <c r="B125" s="16"/>
      <c r="C125" s="18"/>
    </row>
    <row r="126" spans="1:3">
      <c r="A126" s="18"/>
      <c r="B126" s="16"/>
      <c r="C126" s="18"/>
    </row>
    <row r="127" spans="1:3">
      <c r="A127" s="18"/>
      <c r="B127" s="16"/>
      <c r="C127" s="18"/>
    </row>
    <row r="128" spans="1:3">
      <c r="A128" s="18"/>
      <c r="B128" s="16"/>
      <c r="C128" s="18"/>
    </row>
    <row r="129" spans="1:3">
      <c r="A129" s="18"/>
      <c r="B129" s="16"/>
      <c r="C129" s="18"/>
    </row>
    <row r="130" spans="1:3">
      <c r="A130" s="18"/>
      <c r="B130" s="16"/>
      <c r="C130" s="18"/>
    </row>
    <row r="131" spans="1:3">
      <c r="A131" s="18"/>
      <c r="B131" s="16"/>
      <c r="C131" s="18"/>
    </row>
    <row r="132" spans="1:3">
      <c r="A132" s="18"/>
      <c r="B132" s="16"/>
      <c r="C132" s="18"/>
    </row>
    <row r="133" spans="1:3">
      <c r="A133" s="18"/>
      <c r="B133" s="16"/>
      <c r="C133" s="18"/>
    </row>
    <row r="134" spans="1:3">
      <c r="A134" s="18"/>
      <c r="B134" s="16"/>
      <c r="C134" s="18"/>
    </row>
    <row r="135" spans="1:3">
      <c r="A135" s="18"/>
      <c r="B135" s="16"/>
      <c r="C135" s="18"/>
    </row>
    <row r="136" spans="1:3">
      <c r="A136" s="18"/>
      <c r="B136" s="16"/>
      <c r="C136" s="18"/>
    </row>
    <row r="137" spans="1:3">
      <c r="A137" s="18"/>
      <c r="B137" s="16"/>
      <c r="C137" s="18"/>
    </row>
    <row r="138" spans="1:3">
      <c r="A138" s="18"/>
      <c r="B138" s="16"/>
      <c r="C138" s="18"/>
    </row>
    <row r="139" spans="1:3">
      <c r="A139" s="18"/>
      <c r="B139" s="16"/>
      <c r="C139" s="18"/>
    </row>
    <row r="140" spans="1:3">
      <c r="A140" s="18"/>
      <c r="B140" s="16"/>
      <c r="C140" s="18"/>
    </row>
    <row r="141" spans="1:3">
      <c r="A141" s="18"/>
      <c r="B141" s="16"/>
      <c r="C141" s="18"/>
    </row>
    <row r="142" spans="1:3">
      <c r="A142" s="18"/>
      <c r="B142" s="16"/>
      <c r="C142" s="18"/>
    </row>
    <row r="143" spans="1:3">
      <c r="A143" s="18"/>
      <c r="B143" s="16"/>
      <c r="C143" s="18"/>
    </row>
    <row r="144" spans="1:3">
      <c r="A144" s="18"/>
      <c r="B144" s="16"/>
      <c r="C144" s="18"/>
    </row>
    <row r="145" spans="1:3">
      <c r="A145" s="18"/>
      <c r="B145" s="16"/>
      <c r="C145" s="18"/>
    </row>
    <row r="146" spans="1:3">
      <c r="A146" s="18"/>
      <c r="B146" s="16"/>
      <c r="C146" s="18"/>
    </row>
    <row r="147" spans="1:3">
      <c r="A147" s="18"/>
      <c r="B147" s="16"/>
      <c r="C147" s="18"/>
    </row>
    <row r="148" spans="1:3">
      <c r="A148" s="18"/>
      <c r="B148" s="16"/>
      <c r="C148" s="18"/>
    </row>
    <row r="149" spans="1:3">
      <c r="A149" s="18"/>
      <c r="B149" s="16"/>
      <c r="C149" s="18"/>
    </row>
    <row r="150" spans="1:3">
      <c r="A150" s="18"/>
      <c r="B150" s="16"/>
      <c r="C150" s="18"/>
    </row>
    <row r="151" spans="1:3">
      <c r="A151" s="18"/>
      <c r="B151" s="16"/>
      <c r="C151" s="18"/>
    </row>
    <row r="152" spans="1:3">
      <c r="A152" s="18"/>
      <c r="B152" s="16"/>
      <c r="C152" s="18"/>
    </row>
    <row r="153" spans="1:3">
      <c r="A153" s="18"/>
      <c r="B153" s="16"/>
      <c r="C153" s="18"/>
    </row>
    <row r="154" spans="1:3">
      <c r="A154" s="18"/>
      <c r="B154" s="16"/>
      <c r="C154" s="18"/>
    </row>
    <row r="155" spans="1:3">
      <c r="A155" s="18"/>
      <c r="B155" s="16"/>
      <c r="C155" s="18"/>
    </row>
    <row r="156" spans="1:3">
      <c r="A156" s="18"/>
      <c r="B156" s="16"/>
      <c r="C156" s="18"/>
    </row>
    <row r="157" spans="1:3">
      <c r="A157" s="18"/>
      <c r="B157" s="16"/>
      <c r="C157" s="18"/>
    </row>
    <row r="158" spans="1:3">
      <c r="A158" s="18"/>
      <c r="B158" s="16"/>
      <c r="C158" s="18"/>
    </row>
    <row r="159" spans="1:3">
      <c r="A159" s="18"/>
      <c r="B159" s="16"/>
      <c r="C159" s="18"/>
    </row>
    <row r="160" spans="1:3">
      <c r="A160" s="18"/>
      <c r="B160" s="16"/>
      <c r="C160" s="18"/>
    </row>
    <row r="161" spans="1:3">
      <c r="A161" s="18"/>
      <c r="B161" s="16"/>
      <c r="C161" s="18"/>
    </row>
    <row r="162" spans="1:3">
      <c r="A162" s="18"/>
      <c r="B162" s="16"/>
      <c r="C162" s="18"/>
    </row>
    <row r="163" spans="1:3">
      <c r="A163" s="18"/>
      <c r="B163" s="16"/>
      <c r="C163" s="18"/>
    </row>
    <row r="164" spans="1:3">
      <c r="A164" s="18"/>
      <c r="B164" s="16"/>
      <c r="C164" s="18"/>
    </row>
    <row r="165" spans="1:3">
      <c r="A165" s="18"/>
      <c r="B165" s="16"/>
      <c r="C165" s="18"/>
    </row>
    <row r="166" spans="1:3">
      <c r="A166" s="18"/>
      <c r="B166" s="16"/>
      <c r="C166" s="18"/>
    </row>
    <row r="167" spans="1:3" ht="33">
      <c r="A167" s="15"/>
      <c r="B167" s="19" t="s">
        <v>218</v>
      </c>
      <c r="C167" s="17"/>
    </row>
    <row r="168" spans="1:3">
      <c r="A168" s="29"/>
      <c r="B168" s="30"/>
      <c r="C168" s="29"/>
    </row>
    <row r="169" spans="1:3">
      <c r="A169" s="31"/>
      <c r="B169" s="32"/>
      <c r="C169" s="31"/>
    </row>
    <row r="170" spans="1:3">
      <c r="A170" s="31"/>
      <c r="B170" s="32"/>
      <c r="C170" s="31"/>
    </row>
    <row r="171" spans="1:3">
      <c r="A171" s="31"/>
      <c r="B171" s="32"/>
      <c r="C171" s="31"/>
    </row>
    <row r="172" spans="1:3">
      <c r="A172" s="31"/>
      <c r="B172" s="32"/>
      <c r="C172" s="31"/>
    </row>
    <row r="173" spans="1:3">
      <c r="A173" s="31"/>
      <c r="B173" s="32"/>
      <c r="C173" s="31"/>
    </row>
    <row r="174" spans="1:3">
      <c r="A174" s="31"/>
      <c r="B174" s="32"/>
      <c r="C174" s="31"/>
    </row>
    <row r="175" spans="1:3">
      <c r="A175" s="31"/>
      <c r="B175" s="32"/>
      <c r="C175" s="31"/>
    </row>
    <row r="176" spans="1:3">
      <c r="A176" s="31"/>
      <c r="B176" s="32"/>
      <c r="C176" s="31"/>
    </row>
    <row r="177" spans="1:3">
      <c r="A177" s="31"/>
      <c r="B177" s="32"/>
      <c r="C177" s="31"/>
    </row>
    <row r="178" spans="1:3">
      <c r="A178" s="31"/>
      <c r="B178" s="32"/>
      <c r="C178" s="31"/>
    </row>
    <row r="179" spans="1:3">
      <c r="A179" s="31"/>
      <c r="B179" s="32"/>
      <c r="C179" s="31"/>
    </row>
    <row r="180" spans="1:3">
      <c r="A180" s="31"/>
      <c r="B180" s="32"/>
      <c r="C180" s="31"/>
    </row>
  </sheetData>
  <phoneticPr fontId="1"/>
  <pageMargins left="0.74803149606299213" right="0.74803149606299213" top="0.98425196850393704" bottom="0.98425196850393704" header="0.31496062992125984" footer="0.31496062992125984"/>
  <pageSetup paperSize="9" scale="60" orientation="portrait" horizontalDpi="1200" verticalDpi="1200" r:id="rId1"/>
  <headerFooter alignWithMargins="0"/>
  <rowBreaks count="2" manualBreakCount="2">
    <brk id="38" max="2" man="1"/>
    <brk id="104" max="2" man="1"/>
  </rowBreaks>
  <colBreaks count="1" manualBreakCount="1">
    <brk id="3" max="1048575"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①熱源水ポンプ群合計消費電力計算シート</vt:lpstr>
      <vt:lpstr>①記入例</vt:lpstr>
      <vt:lpstr>①の使い方</vt:lpstr>
      <vt:lpstr>②設計チェックシート</vt:lpstr>
      <vt:lpstr>②記入例</vt:lpstr>
      <vt:lpstr>②の使い方</vt:lpstr>
      <vt:lpstr>①記入例!Print_Area</vt:lpstr>
      <vt:lpstr>①熱源水ポンプ群合計消費電力計算シート!Print_Area</vt:lpstr>
      <vt:lpstr>②の使い方!Print_Area</vt:lpstr>
      <vt:lpstr>②記入例!Print_Area</vt:lpstr>
      <vt:lpstr>②設計チェックシート!Print_Area</vt:lpstr>
      <vt:lpstr>①記入例!タイプA</vt:lpstr>
      <vt:lpstr>タイプA</vt:lpstr>
      <vt:lpstr>①記入例!タイプB</vt:lpstr>
      <vt:lpstr>タイプB</vt:lpstr>
      <vt:lpstr>①記入例!タイプC</vt:lpstr>
      <vt:lpstr>タイプC</vt:lpstr>
      <vt:lpstr>①記入例!タイプD</vt:lpstr>
      <vt:lpstr>タイプD</vt:lpstr>
      <vt:lpstr>①記入例!タイプE</vt:lpstr>
      <vt:lpstr>タイプE</vt:lpstr>
      <vt:lpstr>①記入例!タイプF</vt:lpstr>
      <vt:lpstr>タイプF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2020-10-07T02:29:02Z</cp:lastPrinted>
  <dcterms:created xsi:type="dcterms:W3CDTF">2015-06-05T18:19:34Z</dcterms:created>
  <dcterms:modified xsi:type="dcterms:W3CDTF">2021-04-02T01:14:51Z</dcterms:modified>
</cp:coreProperties>
</file>